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pivotTables/pivotTable3.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pivotTables/pivotTable4.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pivotTables/pivotTable5.xml" ContentType="application/vnd.openxmlformats-officedocument.spreadsheetml.pivotTable+xml"/>
  <Override PartName="/xl/drawings/drawing6.xml" ContentType="application/vnd.openxmlformats-officedocument.drawing+xml"/>
  <Override PartName="/xl/charts/chart5.xml" ContentType="application/vnd.openxmlformats-officedocument.drawingml.chart+xml"/>
  <Override PartName="/xl/pivotTables/pivotTable6.xml" ContentType="application/vnd.openxmlformats-officedocument.spreadsheetml.pivotTable+xml"/>
  <Override PartName="/xl/drawings/drawing7.xml" ContentType="application/vnd.openxmlformats-officedocument.drawing+xml"/>
  <Override PartName="/xl/charts/chart6.xml" ContentType="application/vnd.openxmlformats-officedocument.drawingml.chart+xml"/>
  <Override PartName="/xl/pivotTables/pivotTable7.xml" ContentType="application/vnd.openxmlformats-officedocument.spreadsheetml.pivotTable+xml"/>
  <Override PartName="/xl/drawings/drawing8.xml" ContentType="application/vnd.openxmlformats-officedocument.drawing+xml"/>
  <Override PartName="/xl/charts/chart7.xml" ContentType="application/vnd.openxmlformats-officedocument.drawingml.chart+xml"/>
  <Override PartName="/xl/tables/table3.xml" ContentType="application/vnd.openxmlformats-officedocument.spreadsheetml.table+xml"/>
  <Override PartName="/xl/pivotTables/pivotTable8.xml" ContentType="application/vnd.openxmlformats-officedocument.spreadsheetml.pivotTable+xml"/>
  <Override PartName="/xl/drawings/drawing9.xml" ContentType="application/vnd.openxmlformats-officedocument.drawing+xml"/>
  <Override PartName="/xl/charts/chart8.xml" ContentType="application/vnd.openxmlformats-officedocument.drawingml.chart+xml"/>
  <Override PartName="/xl/pivotTables/pivotTable9.xml" ContentType="application/vnd.openxmlformats-officedocument.spreadsheetml.pivotTable+xml"/>
  <Override PartName="/xl/drawings/drawing10.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M\Downloads\"/>
    </mc:Choice>
  </mc:AlternateContent>
  <bookViews>
    <workbookView xWindow="0" yWindow="0" windowWidth="21333" windowHeight="7840" tabRatio="953"/>
  </bookViews>
  <sheets>
    <sheet name="Information" sheetId="73" r:id="rId1"/>
    <sheet name="2007-2015 Projects" sheetId="1" r:id="rId2"/>
    <sheet name="2016 &amp; Pending Projects" sheetId="25" r:id="rId3"/>
    <sheet name="GCountryBar" sheetId="17" r:id="rId4"/>
    <sheet name="GYearlyCountry" sheetId="69" r:id="rId5"/>
    <sheet name="2016" sheetId="72" r:id="rId6"/>
    <sheet name="GPendingStack" sheetId="21" r:id="rId7"/>
    <sheet name="GYearOrgStack" sheetId="26" r:id="rId8"/>
    <sheet name="GSectorShare" sheetId="20" r:id="rId9"/>
    <sheet name="GRecipientBar" sheetId="13" r:id="rId10"/>
    <sheet name="Notes &amp; Methodology" sheetId="14" r:id="rId11"/>
    <sheet name="Responses" sheetId="23" r:id="rId12"/>
    <sheet name="GOrgBar" sheetId="22" r:id="rId13"/>
    <sheet name="BigSpendersxSector" sheetId="47" r:id="rId14"/>
    <sheet name="FunderbyCountry" sheetId="50" r:id="rId15"/>
    <sheet name="Dev Bank Share by Country" sheetId="28" r:id="rId16"/>
  </sheets>
  <externalReferences>
    <externalReference r:id="rId17"/>
  </externalReferences>
  <definedNames>
    <definedName name="_xlcn.WorksheetConnection_2016CoalDatabase10282016.xlsxapproval" hidden="1">approval</definedName>
    <definedName name="_xlcn.WorksheetConnection_2016CoalDatabase10282016.xlsxapproval1" localSheetId="0" hidden="1">approval</definedName>
    <definedName name="_xlcn.WorksheetConnection_2016CoalDatabase10282016.xlsxCompletedProjects" hidden="1">[1]!CompletedProjects[#Data]</definedName>
    <definedName name="_xlcn.WorksheetConnection_2016CoalDatabase10282016.xlsxCompletedProjects1" localSheetId="0" hidden="1">[1]!CompletedProjects[#Data]</definedName>
    <definedName name="_xlcn.WorksheetConnection_2016CoalDatabase10282016.xlsxcountries" hidden="1">countries</definedName>
    <definedName name="_xlcn.WorksheetConnection_2016CoalDatabase10282016.xlsxcountries1" localSheetId="0" hidden="1">countries</definedName>
    <definedName name="_xlcn.WorksheetConnection_2016CoalDatabase10282016.xlsxPending" hidden="1">[1]!Pending[#Data]</definedName>
    <definedName name="_xlcn.WorksheetConnection_2016CoalDatabase10282016.xlsxPending1" localSheetId="0" hidden="1">[1]!Pending[#Data]</definedName>
    <definedName name="_xlcn.WorksheetConnection_Table11" localSheetId="5" hidden="1">CompletedProjects[]</definedName>
    <definedName name="_xlcn.WorksheetConnection_Table11" localSheetId="4" hidden="1">CompletedProjects[]</definedName>
    <definedName name="_xlcn.WorksheetConnection_Table11" localSheetId="0" hidden="1">[1]!CompletedProjects[#Data]</definedName>
    <definedName name="_xlcn.WorksheetConnection_Table11" hidden="1">CompletedProjects[]</definedName>
    <definedName name="B">'Dev Bank Share by Country'!$AQF$41</definedName>
    <definedName name="top" localSheetId="2">'2016 &amp; Pending Projects'!#REF!</definedName>
  </definedNames>
  <calcPr calcId="171027"/>
  <pivotCaches>
    <pivotCache cacheId="0" r:id="rId18"/>
    <pivotCache cacheId="1" r:id="rId19"/>
  </pivotCaches>
  <extLst>
    <ext xmlns:x15="http://schemas.microsoft.com/office/spreadsheetml/2010/11/main" uri="{FCE2AD5D-F65C-4FA6-A056-5C36A1767C68}">
      <x15:dataModel>
        <x15:modelTables>
          <x15:modelTable id="CompletedProjects" name="CompletedProjects" connection="WorksheetConnection_2016 Coal Database 10-28-2016.xlsx!CompletedProjects"/>
          <x15:modelTable id="Pending" name="Pending" connection="WorksheetConnection_2016 Coal Database 10-28-2016.xlsx!Pending"/>
          <x15:modelTable id="countries" name="countries" connection="WorksheetConnection_2016 Coal Database 10-28-2016.xlsx!countries"/>
          <x15:modelTable id="approval" name="approval" connection="WorksheetConnection_2016 Coal Database 10-28-2016.xlsx!approval"/>
        </x15:modelTables>
        <x15:extLst>
          <ext xmlns:x16="http://schemas.microsoft.com/office/spreadsheetml/2014/11/main" uri="{9835A34E-60A6-4A7C-AAB8-D5F71C897F49}">
            <x16:modelTimeGroupings>
              <x16:modelTimeGrouping tableName="CompletedProjects" columnName="Approval Date" columnId="Approval Date">
                <x16:calculatedTimeColumn columnName="Approval Date (Year)" columnId="Approval Date (Year)" contentType="years" isSelected="1"/>
                <x16:calculatedTimeColumn columnName="Approval Date (Quarter)" columnId="Approval Date (Quarter)" contentType="quarters" isSelected="1"/>
                <x16:calculatedTimeColumn columnName="Approval Date (Month Index)" columnId="Approval Date (Month Index)" contentType="monthsindex" isSelected="1"/>
                <x16:calculatedTimeColumn columnName="Approval Date (Month)" columnId="Approval Date (Month)" contentType="months" isSelected="1"/>
              </x16:modelTimeGrouping>
              <x16:modelTimeGrouping tableName="Pending" columnName="Approval Date" columnId="Approval Date">
                <x16:calculatedTimeColumn columnName="Approval Date (Year)" columnId="Approval Date (Year)" contentType="years" isSelected="1"/>
                <x16:calculatedTimeColumn columnName="Approval Date (Quarter)" columnId="Approval Date (Quarter)" contentType="quarters" isSelected="1"/>
                <x16:calculatedTimeColumn columnName="Approval Date (Month Index)" columnId="Approval Date (Month Index)" contentType="monthsindex" isSelected="1"/>
                <x16:calculatedTimeColumn columnName="Approval Date (Month)" columnId="Approval Date (Month)" contentType="months" isSelected="1"/>
              </x16:modelTimeGrouping>
            </x16:modelTimeGroupings>
          </ext>
        </x15:extLst>
      </x15:dataModel>
    </ext>
  </extLst>
</workbook>
</file>

<file path=xl/calcChain.xml><?xml version="1.0" encoding="utf-8"?>
<calcChain xmlns="http://schemas.openxmlformats.org/spreadsheetml/2006/main">
  <c r="O9" i="25" l="1"/>
  <c r="P9" i="25" s="1"/>
  <c r="O58" i="25" l="1"/>
  <c r="P58" i="25" s="1"/>
  <c r="O108" i="25"/>
  <c r="P108" i="25" s="1"/>
  <c r="O55" i="25"/>
  <c r="P55" i="25" s="1"/>
  <c r="O104" i="25"/>
  <c r="P104" i="25" s="1"/>
  <c r="O52" i="25"/>
  <c r="P52" i="25" s="1"/>
  <c r="O49" i="25"/>
  <c r="P49" i="25" s="1"/>
  <c r="O109" i="25"/>
  <c r="P109" i="25" s="1"/>
  <c r="O16" i="25"/>
  <c r="P16" i="25" s="1"/>
  <c r="O25" i="25"/>
  <c r="P25" i="25" s="1"/>
  <c r="O21" i="25"/>
  <c r="P21" i="25" s="1"/>
  <c r="O12" i="25"/>
  <c r="P12" i="25" s="1"/>
  <c r="O19" i="25"/>
  <c r="P19" i="25" s="1"/>
  <c r="O24" i="25"/>
  <c r="P24" i="25" s="1"/>
  <c r="O129" i="25"/>
  <c r="P129" i="25" s="1"/>
  <c r="O51" i="25"/>
  <c r="P51" i="25" s="1"/>
  <c r="O102" i="25"/>
  <c r="P102" i="25" s="1"/>
  <c r="O135" i="25"/>
  <c r="P135" i="25" s="1"/>
  <c r="O30" i="25"/>
  <c r="P30" i="25" s="1"/>
  <c r="O130" i="25"/>
  <c r="P130" i="25" s="1"/>
  <c r="O132" i="25"/>
  <c r="P132" i="25" s="1"/>
  <c r="O134" i="25"/>
  <c r="P134" i="25" s="1"/>
  <c r="O41" i="25"/>
  <c r="P41" i="25" s="1"/>
  <c r="O99" i="25"/>
  <c r="P99" i="25" s="1"/>
  <c r="O56" i="25"/>
  <c r="P56" i="25" s="1"/>
  <c r="O43" i="25"/>
  <c r="P43" i="25" s="1"/>
  <c r="O86" i="25"/>
  <c r="P86" i="25" s="1"/>
  <c r="O63" i="25"/>
  <c r="P63" i="25" s="1"/>
  <c r="O67" i="25"/>
  <c r="P67" i="25" s="1"/>
  <c r="O68" i="25"/>
  <c r="P68" i="25" s="1"/>
  <c r="O84" i="25"/>
  <c r="P84" i="25" s="1"/>
  <c r="O70" i="25"/>
  <c r="P70" i="25" s="1"/>
  <c r="O81" i="25"/>
  <c r="P81" i="25" s="1"/>
  <c r="O82" i="25"/>
  <c r="P82" i="25" s="1"/>
  <c r="O87" i="25"/>
  <c r="P87" i="25" s="1"/>
  <c r="O96" i="25"/>
  <c r="P96" i="25" s="1"/>
  <c r="O88" i="25"/>
  <c r="P88" i="25" s="1"/>
  <c r="O71" i="25"/>
  <c r="P71" i="25" s="1"/>
  <c r="O37" i="25"/>
  <c r="P37" i="25" s="1"/>
  <c r="O97" i="25"/>
  <c r="P97" i="25" s="1"/>
  <c r="O40" i="25"/>
  <c r="P40" i="25" s="1"/>
  <c r="O57" i="25"/>
  <c r="P57" i="25" s="1"/>
  <c r="O64" i="25"/>
  <c r="P64" i="25" s="1"/>
  <c r="O79" i="25"/>
  <c r="P79" i="25" s="1"/>
  <c r="O59" i="25"/>
  <c r="P59" i="25" s="1"/>
  <c r="O35" i="25"/>
  <c r="P35" i="25" s="1"/>
  <c r="O54" i="25"/>
  <c r="P54" i="25" s="1"/>
  <c r="O17" i="25"/>
  <c r="P17" i="25" s="1"/>
  <c r="O46" i="25"/>
  <c r="P46" i="25" s="1"/>
  <c r="O106" i="25"/>
  <c r="P106" i="25" s="1"/>
  <c r="O60" i="25"/>
  <c r="P60" i="25" s="1"/>
  <c r="O50" i="25"/>
  <c r="P50" i="25" s="1"/>
  <c r="O100" i="25"/>
  <c r="P100" i="25" s="1"/>
  <c r="O13" i="25"/>
  <c r="P13" i="25" s="1"/>
  <c r="O14" i="25"/>
  <c r="P14" i="25" s="1"/>
  <c r="O20" i="25"/>
  <c r="P20" i="25" s="1"/>
  <c r="O22" i="25"/>
  <c r="P22" i="25" s="1"/>
  <c r="O23" i="25"/>
  <c r="P23" i="25" s="1"/>
  <c r="O27" i="25"/>
  <c r="P27" i="25" s="1"/>
  <c r="O38" i="25"/>
  <c r="P38" i="25" s="1"/>
  <c r="O44" i="25"/>
  <c r="P44" i="25" s="1"/>
  <c r="O110" i="25"/>
  <c r="P110" i="25" s="1"/>
  <c r="O33" i="25"/>
  <c r="P33" i="25" s="1"/>
  <c r="O94" i="25"/>
  <c r="P94" i="25" s="1"/>
  <c r="O111" i="25"/>
  <c r="P111" i="25" s="1"/>
  <c r="O112" i="25"/>
  <c r="P112" i="25" s="1"/>
  <c r="O36" i="25"/>
  <c r="P36" i="25" s="1"/>
  <c r="O114" i="25"/>
  <c r="P114" i="25" s="1"/>
  <c r="O115" i="25"/>
  <c r="P115" i="25" s="1"/>
  <c r="O116" i="25"/>
  <c r="P116" i="25" s="1"/>
  <c r="O117" i="25"/>
  <c r="P117" i="25" s="1"/>
  <c r="O131" i="25"/>
  <c r="P131" i="25" s="1"/>
  <c r="O28" i="25"/>
  <c r="P28" i="25" s="1"/>
  <c r="O39" i="25"/>
  <c r="P39" i="25" s="1"/>
  <c r="O45" i="25"/>
  <c r="P45" i="25" s="1"/>
  <c r="O119" i="25"/>
  <c r="P119" i="25" s="1"/>
  <c r="O120" i="25"/>
  <c r="P120" i="25" s="1"/>
  <c r="O121" i="25"/>
  <c r="P121" i="25" s="1"/>
  <c r="O137" i="25"/>
  <c r="P137" i="25" s="1"/>
  <c r="O61" i="25"/>
  <c r="P61" i="25" s="1"/>
  <c r="O47" i="25"/>
  <c r="P47" i="25" s="1"/>
  <c r="O53" i="25"/>
  <c r="P53" i="25" s="1"/>
  <c r="O107" i="25"/>
  <c r="P107" i="25" s="1"/>
  <c r="O65" i="25"/>
  <c r="P65" i="25" s="1"/>
  <c r="O95" i="25"/>
  <c r="P95" i="25" s="1"/>
  <c r="O138" i="25"/>
  <c r="P138" i="25" s="1"/>
  <c r="O139" i="25"/>
  <c r="P139" i="25" s="1"/>
  <c r="O29" i="25"/>
  <c r="P29" i="25" s="1"/>
  <c r="O32" i="25"/>
  <c r="P32" i="25" s="1"/>
  <c r="O125" i="25"/>
  <c r="P125" i="25" s="1"/>
  <c r="O62" i="25"/>
  <c r="P62" i="25" s="1"/>
  <c r="O103" i="25"/>
  <c r="P103" i="25" s="1"/>
  <c r="O126" i="25"/>
  <c r="P126" i="25" s="1"/>
  <c r="O66" i="25"/>
  <c r="P66" i="25" s="1"/>
  <c r="O105" i="25"/>
  <c r="P105" i="25" s="1"/>
  <c r="O42" i="25"/>
  <c r="P42" i="25" s="1"/>
  <c r="O101" i="25"/>
  <c r="P101" i="25" s="1"/>
  <c r="O18" i="25"/>
  <c r="P18" i="25" s="1"/>
  <c r="O93" i="25"/>
  <c r="P93" i="25" s="1"/>
  <c r="O127" i="25"/>
  <c r="P127" i="25" s="1"/>
  <c r="O128" i="25"/>
  <c r="P128" i="25" s="1"/>
  <c r="O140" i="25"/>
  <c r="P140" i="25" s="1"/>
  <c r="O2" i="25"/>
  <c r="P2" i="25" s="1"/>
  <c r="O3" i="25"/>
  <c r="P3" i="25" s="1"/>
  <c r="O4" i="25"/>
  <c r="P4" i="25" s="1"/>
  <c r="O7" i="25"/>
  <c r="P7" i="25" s="1"/>
  <c r="O10" i="25"/>
  <c r="P10" i="25" s="1"/>
  <c r="O11" i="25"/>
  <c r="P11" i="25" s="1"/>
  <c r="N701" i="1"/>
  <c r="N702" i="1"/>
  <c r="M18" i="17" l="1"/>
  <c r="N6" i="25" l="1"/>
  <c r="O6" i="25" s="1"/>
  <c r="P6" i="25" s="1"/>
  <c r="N5" i="25"/>
  <c r="O5" i="25" s="1"/>
  <c r="P5" i="25" s="1"/>
  <c r="O17" i="1" l="1"/>
  <c r="O106" i="1"/>
  <c r="P106" i="1" s="1"/>
  <c r="O180" i="1"/>
  <c r="P180" i="1" s="1"/>
  <c r="O277" i="1"/>
  <c r="P277" i="1" s="1"/>
  <c r="O357" i="1"/>
  <c r="P357" i="1" s="1"/>
  <c r="O498" i="1"/>
  <c r="P498" i="1" s="1"/>
  <c r="O550" i="1"/>
  <c r="P550" i="1" s="1"/>
  <c r="O662" i="1"/>
  <c r="P662" i="1" s="1"/>
  <c r="O793" i="1"/>
  <c r="P793" i="1" s="1"/>
  <c r="O923" i="1"/>
  <c r="P923" i="1" s="1"/>
  <c r="O958" i="1"/>
  <c r="P958" i="1" s="1"/>
  <c r="O1032" i="1"/>
  <c r="P1032" i="1" s="1"/>
  <c r="O1095" i="1"/>
  <c r="P1095" i="1" s="1"/>
  <c r="O1179" i="1"/>
  <c r="P1179" i="1" s="1"/>
  <c r="O1255" i="1"/>
  <c r="P1255" i="1" s="1"/>
  <c r="O48" i="1"/>
  <c r="P48" i="1" s="1"/>
  <c r="O149" i="1"/>
  <c r="P149" i="1" s="1"/>
  <c r="O322" i="1"/>
  <c r="P322" i="1" s="1"/>
  <c r="O421" i="1"/>
  <c r="P421" i="1" s="1"/>
  <c r="O629" i="1"/>
  <c r="P629" i="1" s="1"/>
  <c r="O718" i="1"/>
  <c r="P718" i="1" s="1"/>
  <c r="O825" i="1"/>
  <c r="P825" i="1" s="1"/>
  <c r="O873" i="1"/>
  <c r="P873" i="1" s="1"/>
  <c r="O997" i="1"/>
  <c r="P997" i="1" s="1"/>
  <c r="O1072" i="1"/>
  <c r="P1072" i="1" s="1"/>
  <c r="O1138" i="1"/>
  <c r="P1138" i="1" s="1"/>
  <c r="O1218" i="1"/>
  <c r="P1218" i="1" s="1"/>
  <c r="O18" i="1"/>
  <c r="O107" i="1"/>
  <c r="O182" i="1"/>
  <c r="P182" i="1" s="1"/>
  <c r="O278" i="1"/>
  <c r="P278" i="1" s="1"/>
  <c r="O359" i="1"/>
  <c r="P359" i="1" s="1"/>
  <c r="O500" i="1"/>
  <c r="P500" i="1" s="1"/>
  <c r="O551" i="1"/>
  <c r="P551" i="1" s="1"/>
  <c r="O664" i="1"/>
  <c r="P664" i="1" s="1"/>
  <c r="O796" i="1"/>
  <c r="P796" i="1" s="1"/>
  <c r="O924" i="1"/>
  <c r="P924" i="1" s="1"/>
  <c r="O959" i="1"/>
  <c r="P959" i="1" s="1"/>
  <c r="O1034" i="1"/>
  <c r="P1034" i="1" s="1"/>
  <c r="O1097" i="1"/>
  <c r="P1097" i="1" s="1"/>
  <c r="O1181" i="1"/>
  <c r="P1181" i="1" s="1"/>
  <c r="O1257" i="1"/>
  <c r="P1257" i="1" s="1"/>
  <c r="P107" i="1" l="1"/>
  <c r="P17" i="1"/>
  <c r="P18" i="1"/>
  <c r="O970" i="1"/>
  <c r="P970" i="1" s="1"/>
  <c r="D1249" i="1" l="1"/>
  <c r="D1183" i="1"/>
  <c r="D1038" i="1"/>
  <c r="D803" i="1"/>
  <c r="D674" i="1"/>
  <c r="D599" i="1"/>
  <c r="D559" i="1"/>
  <c r="D506" i="1"/>
  <c r="D365" i="1"/>
  <c r="D284" i="1"/>
  <c r="D190" i="1"/>
  <c r="D86" i="1"/>
  <c r="D1099" i="1"/>
  <c r="D89" i="1" l="1"/>
  <c r="D64" i="1"/>
  <c r="D99" i="1"/>
  <c r="D75" i="1"/>
  <c r="D117" i="1"/>
  <c r="D122" i="1"/>
  <c r="D124" i="1"/>
  <c r="D126" i="1"/>
  <c r="D127" i="1"/>
  <c r="D134" i="1"/>
  <c r="D139" i="1"/>
  <c r="D141" i="1"/>
  <c r="D185" i="1"/>
  <c r="D145" i="1"/>
  <c r="D146" i="1"/>
  <c r="D147" i="1"/>
  <c r="D148" i="1"/>
  <c r="D187" i="1"/>
  <c r="D153" i="1"/>
  <c r="D191" i="1"/>
  <c r="D159" i="1"/>
  <c r="L160" i="1"/>
  <c r="D138" i="1"/>
  <c r="D193" i="1"/>
  <c r="D171" i="1"/>
  <c r="D201" i="1"/>
  <c r="D179" i="1"/>
  <c r="D205" i="1"/>
  <c r="D210" i="1"/>
  <c r="D279" i="1"/>
  <c r="D212" i="1"/>
  <c r="D213" i="1"/>
  <c r="D215" i="1"/>
  <c r="D216" i="1"/>
  <c r="D281" i="1"/>
  <c r="D227" i="1"/>
  <c r="D283" i="1"/>
  <c r="D234" i="1"/>
  <c r="L235" i="1"/>
  <c r="D206" i="1"/>
  <c r="D224" i="1"/>
  <c r="D260" i="1"/>
  <c r="D225" i="1"/>
  <c r="D261" i="1"/>
  <c r="D288" i="1"/>
  <c r="D226" i="1"/>
  <c r="D246" i="1"/>
  <c r="D236" i="1"/>
  <c r="D244" i="1"/>
  <c r="D298" i="1"/>
  <c r="D270" i="1"/>
  <c r="D309" i="1"/>
  <c r="D303" i="1"/>
  <c r="D311" i="1"/>
  <c r="D312" i="1"/>
  <c r="D347" i="1"/>
  <c r="D318" i="1"/>
  <c r="D319" i="1"/>
  <c r="D320" i="1"/>
  <c r="D321" i="1"/>
  <c r="D361" i="1"/>
  <c r="D328" i="1"/>
  <c r="D364" i="1"/>
  <c r="D333" i="1"/>
  <c r="L334" i="1"/>
  <c r="D305" i="1"/>
  <c r="D367" i="1"/>
  <c r="D345" i="1"/>
  <c r="D375" i="1"/>
  <c r="D356" i="1"/>
  <c r="D395" i="1"/>
  <c r="D379" i="1"/>
  <c r="D397" i="1"/>
  <c r="D398" i="1"/>
  <c r="D387" i="1"/>
  <c r="D409" i="1"/>
  <c r="D410" i="1"/>
  <c r="D411" i="1"/>
  <c r="D414" i="1"/>
  <c r="D501" i="1"/>
  <c r="D430" i="1"/>
  <c r="D504" i="1"/>
  <c r="D438" i="1"/>
  <c r="L439" i="1"/>
  <c r="D382" i="1"/>
  <c r="D507" i="1"/>
  <c r="D458" i="1"/>
  <c r="D469" i="1"/>
  <c r="D470" i="1"/>
  <c r="D471" i="1"/>
  <c r="D472" i="1"/>
  <c r="D473" i="1"/>
  <c r="D474" i="1"/>
  <c r="D476" i="1"/>
  <c r="D477" i="1"/>
  <c r="D485" i="1"/>
  <c r="D486" i="1"/>
  <c r="D490" i="1"/>
  <c r="D491" i="1"/>
  <c r="D492" i="1"/>
  <c r="D515" i="1"/>
  <c r="D497" i="1"/>
  <c r="D385" i="1"/>
  <c r="D384" i="1"/>
  <c r="D383" i="1"/>
  <c r="D524" i="1"/>
  <c r="D525" i="1"/>
  <c r="D521" i="1"/>
  <c r="D527" i="1"/>
  <c r="D528" i="1"/>
  <c r="D529" i="1"/>
  <c r="D530" i="1"/>
  <c r="D532" i="1"/>
  <c r="D533" i="1"/>
  <c r="D553" i="1"/>
  <c r="D538" i="1"/>
  <c r="L539" i="1"/>
  <c r="D520" i="1"/>
  <c r="D554" i="1"/>
  <c r="D543" i="1"/>
  <c r="D562" i="1"/>
  <c r="D549" i="1"/>
  <c r="D566" i="1"/>
  <c r="D572" i="1"/>
  <c r="D569" i="1"/>
  <c r="D574" i="1"/>
  <c r="D575" i="1"/>
  <c r="D576" i="1"/>
  <c r="D577" i="1"/>
  <c r="D578" i="1"/>
  <c r="D580" i="1"/>
  <c r="D592" i="1"/>
  <c r="D582" i="1"/>
  <c r="L583" i="1"/>
  <c r="D568" i="1"/>
  <c r="D593" i="1"/>
  <c r="D585" i="1"/>
  <c r="D601" i="1"/>
  <c r="D590" i="1"/>
  <c r="D613" i="1"/>
  <c r="D614" i="1"/>
  <c r="D616" i="1"/>
  <c r="D617" i="1"/>
  <c r="D623" i="1"/>
  <c r="D624" i="1"/>
  <c r="D626" i="1"/>
  <c r="D627" i="1"/>
  <c r="D628" i="1"/>
  <c r="D610" i="1"/>
  <c r="D634" i="1"/>
  <c r="D665" i="1"/>
  <c r="D639" i="1"/>
  <c r="L640" i="1"/>
  <c r="D608" i="1"/>
  <c r="D667" i="1"/>
  <c r="D650" i="1"/>
  <c r="D677" i="1"/>
  <c r="D661" i="1"/>
  <c r="D703" i="1"/>
  <c r="D704" i="1"/>
  <c r="D709" i="1"/>
  <c r="D711" i="1"/>
  <c r="D712" i="1"/>
  <c r="D713" i="1"/>
  <c r="D715" i="1"/>
  <c r="D690" i="1"/>
  <c r="D723" i="1"/>
  <c r="D710" i="1"/>
  <c r="D730" i="1"/>
  <c r="L731" i="1"/>
  <c r="D686" i="1"/>
  <c r="D797" i="1"/>
  <c r="D755" i="1"/>
  <c r="D806" i="1"/>
  <c r="D792" i="1"/>
  <c r="D810" i="1"/>
  <c r="D814" i="1"/>
  <c r="D816" i="1"/>
  <c r="D819" i="1"/>
  <c r="D836" i="1"/>
  <c r="D851" i="1"/>
  <c r="D868" i="1"/>
  <c r="D872" i="1"/>
  <c r="D861" i="1"/>
  <c r="D864" i="1"/>
  <c r="D866" i="1"/>
  <c r="D897" i="1"/>
  <c r="D901" i="1"/>
  <c r="D903" i="1"/>
  <c r="D905" i="1"/>
  <c r="D907" i="1"/>
  <c r="D908" i="1"/>
  <c r="D929" i="1"/>
  <c r="D933" i="1"/>
  <c r="D935" i="1"/>
  <c r="D939" i="1"/>
  <c r="D941" i="1"/>
  <c r="D942" i="1"/>
  <c r="D963" i="1"/>
  <c r="D967" i="1"/>
  <c r="D986" i="1"/>
  <c r="D971" i="1"/>
  <c r="D992" i="1"/>
  <c r="D994" i="1"/>
  <c r="D995" i="1"/>
  <c r="D996" i="1"/>
  <c r="D974" i="1"/>
  <c r="D1001" i="1"/>
  <c r="D977" i="1"/>
  <c r="D1007" i="1"/>
  <c r="L1009" i="1"/>
  <c r="D973" i="1"/>
  <c r="D979" i="1"/>
  <c r="D1019" i="1"/>
  <c r="D1026" i="1"/>
  <c r="D1040" i="1"/>
  <c r="D1031" i="1"/>
  <c r="D1044" i="1"/>
  <c r="D1064" i="1"/>
  <c r="D1049" i="1"/>
  <c r="D1062" i="1"/>
  <c r="D1069" i="1"/>
  <c r="D1070" i="1"/>
  <c r="D1071" i="1"/>
  <c r="D1052" i="1"/>
  <c r="D1074" i="1"/>
  <c r="D1055" i="1"/>
  <c r="D1079" i="1"/>
  <c r="L1081" i="1"/>
  <c r="D1057" i="1"/>
  <c r="D1051" i="1"/>
  <c r="D1090" i="1"/>
  <c r="D1101" i="1"/>
  <c r="D1094" i="1"/>
  <c r="D1124" i="1"/>
  <c r="D1105" i="1"/>
  <c r="D1126" i="1"/>
  <c r="D1127" i="1"/>
  <c r="D1109" i="1"/>
  <c r="D1121" i="1"/>
  <c r="D1134" i="1"/>
  <c r="D1135" i="1"/>
  <c r="D1136" i="1"/>
  <c r="D1112" i="1"/>
  <c r="D1144" i="1"/>
  <c r="D1115" i="1"/>
  <c r="D1149" i="1"/>
  <c r="L1150" i="1"/>
  <c r="D1111" i="1"/>
  <c r="D1117" i="1"/>
  <c r="D1163" i="1"/>
  <c r="D1184" i="1"/>
  <c r="D1188" i="1"/>
  <c r="D1208" i="1"/>
  <c r="D1191" i="1"/>
  <c r="D1203" i="1"/>
  <c r="D1214" i="1"/>
  <c r="D1215" i="1"/>
  <c r="D1217" i="1"/>
  <c r="D1193" i="1"/>
  <c r="D1222" i="1"/>
  <c r="D1197" i="1"/>
  <c r="D1227" i="1"/>
  <c r="L1228" i="1"/>
  <c r="D1194" i="1"/>
  <c r="O1234" i="1"/>
  <c r="P1234" i="1" s="1"/>
  <c r="O1158" i="1"/>
  <c r="P1158" i="1" s="1"/>
  <c r="O1084" i="1"/>
  <c r="P1084" i="1" s="1"/>
  <c r="O1015" i="1"/>
  <c r="P1015" i="1" s="1"/>
  <c r="O879" i="1"/>
  <c r="P879" i="1" s="1"/>
  <c r="O833" i="1"/>
  <c r="P833" i="1" s="1"/>
  <c r="O746" i="1"/>
  <c r="P746" i="1" s="1"/>
  <c r="O647" i="1"/>
  <c r="P647" i="1" s="1"/>
  <c r="O453" i="1"/>
  <c r="P453" i="1" s="1"/>
  <c r="O340" i="1"/>
  <c r="P340" i="1" s="1"/>
  <c r="O165" i="1"/>
  <c r="P165" i="1" s="1"/>
  <c r="N61" i="1"/>
  <c r="O61" i="1" s="1"/>
  <c r="P61" i="1" s="1"/>
  <c r="N136" i="25" l="1"/>
  <c r="O136" i="25" s="1"/>
  <c r="P136" i="25" s="1"/>
  <c r="N133" i="25"/>
  <c r="O133" i="25" s="1"/>
  <c r="P133" i="25" s="1"/>
  <c r="N48" i="25"/>
  <c r="O48" i="25" s="1"/>
  <c r="P48" i="25" s="1"/>
  <c r="N118" i="25"/>
  <c r="O118" i="25" s="1"/>
  <c r="P118" i="25" s="1"/>
  <c r="N31" i="25"/>
  <c r="O31" i="25" s="1"/>
  <c r="P31" i="25" s="1"/>
  <c r="N124" i="25"/>
  <c r="O124" i="25" s="1"/>
  <c r="P124" i="25" s="1"/>
  <c r="N113" i="25"/>
  <c r="O113" i="25" s="1"/>
  <c r="P113" i="25" s="1"/>
  <c r="N123" i="25"/>
  <c r="O123" i="25" s="1"/>
  <c r="P123" i="25" s="1"/>
  <c r="N122" i="25"/>
  <c r="O122" i="25" s="1"/>
  <c r="P122" i="25" s="1"/>
  <c r="D21" i="1" l="1"/>
  <c r="D23" i="1"/>
  <c r="D25" i="1"/>
  <c r="D27" i="1"/>
  <c r="D28" i="1"/>
  <c r="D35" i="1"/>
  <c r="D77" i="1"/>
  <c r="D39" i="1"/>
  <c r="D81" i="1"/>
  <c r="D43" i="1"/>
  <c r="D44" i="1"/>
  <c r="D45" i="1"/>
  <c r="D46" i="1"/>
  <c r="D83" i="1"/>
  <c r="D50" i="1"/>
  <c r="D87" i="1"/>
  <c r="D52" i="1"/>
  <c r="L53" i="1"/>
  <c r="D56" i="1"/>
  <c r="D1199" i="1"/>
  <c r="D1239" i="1"/>
  <c r="D1248" i="1"/>
  <c r="D1254" i="1"/>
  <c r="O886" i="1"/>
  <c r="N15" i="25"/>
  <c r="O15" i="25" s="1"/>
  <c r="P15" i="25" s="1"/>
  <c r="D15" i="25"/>
  <c r="O249" i="1" l="1"/>
  <c r="P249" i="1" s="1"/>
  <c r="O389" i="1" l="1"/>
  <c r="P389" i="1" s="1"/>
  <c r="O390" i="1"/>
  <c r="P390" i="1" s="1"/>
  <c r="O391" i="1"/>
  <c r="P391" i="1" s="1"/>
  <c r="O684" i="1"/>
  <c r="P684" i="1" s="1"/>
  <c r="O392" i="1"/>
  <c r="P392" i="1" s="1"/>
  <c r="O688" i="1"/>
  <c r="P688" i="1" s="1"/>
  <c r="O689" i="1"/>
  <c r="P689" i="1" s="1"/>
  <c r="O693" i="1"/>
  <c r="P693" i="1" s="1"/>
  <c r="O694" i="1"/>
  <c r="P694" i="1" s="1"/>
  <c r="O695" i="1"/>
  <c r="P695" i="1" s="1"/>
  <c r="N376" i="1"/>
  <c r="O376" i="1" s="1"/>
  <c r="P376" i="1" s="1"/>
  <c r="N1185" i="1"/>
  <c r="N678" i="1"/>
  <c r="O678" i="1" s="1"/>
  <c r="P678" i="1" s="1"/>
  <c r="N300" i="1"/>
  <c r="O300" i="1" s="1"/>
  <c r="P300" i="1" s="1"/>
  <c r="N1102" i="1"/>
  <c r="N516" i="1"/>
  <c r="O516" i="1" s="1"/>
  <c r="P516" i="1" s="1"/>
  <c r="N852" i="1"/>
  <c r="O852" i="1" s="1"/>
  <c r="P852" i="1" s="1"/>
  <c r="N135" i="1"/>
  <c r="O135" i="1" s="1"/>
  <c r="P135" i="1" s="1"/>
  <c r="N602" i="1"/>
  <c r="O602" i="1" s="1"/>
  <c r="P602" i="1" s="1"/>
  <c r="N202" i="1"/>
  <c r="O202" i="1" s="1"/>
  <c r="P202" i="1" s="1"/>
  <c r="N108" i="1"/>
  <c r="O108" i="1" s="1"/>
  <c r="P108" i="1" s="1"/>
  <c r="N898" i="1"/>
  <c r="O898" i="1" s="1"/>
  <c r="P898" i="1" s="1"/>
  <c r="N36" i="1"/>
  <c r="N2" i="1"/>
  <c r="N563" i="1"/>
  <c r="O563" i="1" s="1"/>
  <c r="P563" i="1" s="1"/>
  <c r="N807" i="1"/>
  <c r="O807" i="1" s="1"/>
  <c r="P807" i="1" s="1"/>
  <c r="N964" i="1"/>
  <c r="O964" i="1" s="1"/>
  <c r="P964" i="1" s="1"/>
  <c r="N930" i="1"/>
  <c r="O930" i="1" s="1"/>
  <c r="P930" i="1" s="1"/>
  <c r="N1041" i="1"/>
  <c r="O377" i="1"/>
  <c r="P377" i="1" s="1"/>
  <c r="O1186" i="1"/>
  <c r="O679" i="1"/>
  <c r="P679" i="1" s="1"/>
  <c r="O1103" i="1"/>
  <c r="P1103" i="1" s="1"/>
  <c r="O301" i="1"/>
  <c r="P301" i="1" s="1"/>
  <c r="O899" i="1"/>
  <c r="P899" i="1" s="1"/>
  <c r="O517" i="1"/>
  <c r="P517" i="1" s="1"/>
  <c r="O603" i="1"/>
  <c r="P603" i="1" s="1"/>
  <c r="O203" i="1"/>
  <c r="P203" i="1" s="1"/>
  <c r="O109" i="1"/>
  <c r="P109" i="1" s="1"/>
  <c r="O38" i="1"/>
  <c r="O965" i="1"/>
  <c r="P965" i="1" s="1"/>
  <c r="O564" i="1"/>
  <c r="P564" i="1" s="1"/>
  <c r="O1042" i="1"/>
  <c r="P1042" i="1" s="1"/>
  <c r="O808" i="1"/>
  <c r="P808" i="1" s="1"/>
  <c r="O853" i="1"/>
  <c r="P853" i="1" s="1"/>
  <c r="O931" i="1"/>
  <c r="P931" i="1" s="1"/>
  <c r="O136" i="1"/>
  <c r="P136" i="1" s="1"/>
  <c r="O19" i="1"/>
  <c r="N393" i="1"/>
  <c r="O393" i="1" s="1"/>
  <c r="P393" i="1" s="1"/>
  <c r="N1207" i="1"/>
  <c r="O1207" i="1" s="1"/>
  <c r="P1207" i="1" s="1"/>
  <c r="N700" i="1"/>
  <c r="O700" i="1" s="1"/>
  <c r="P700" i="1" s="1"/>
  <c r="N308" i="1"/>
  <c r="O308" i="1" s="1"/>
  <c r="P308" i="1" s="1"/>
  <c r="N1123" i="1"/>
  <c r="O1123" i="1" s="1"/>
  <c r="P1123" i="1" s="1"/>
  <c r="N523" i="1"/>
  <c r="O523" i="1" s="1"/>
  <c r="P523" i="1" s="1"/>
  <c r="N867" i="1"/>
  <c r="O867" i="1" s="1"/>
  <c r="P867" i="1" s="1"/>
  <c r="N140" i="1"/>
  <c r="O140" i="1" s="1"/>
  <c r="P140" i="1" s="1"/>
  <c r="N612" i="1"/>
  <c r="O612" i="1" s="1"/>
  <c r="P612" i="1" s="1"/>
  <c r="N208" i="1"/>
  <c r="O208" i="1" s="1"/>
  <c r="P208" i="1" s="1"/>
  <c r="N111" i="1"/>
  <c r="O111" i="1" s="1"/>
  <c r="P111" i="1" s="1"/>
  <c r="N911" i="1"/>
  <c r="O911" i="1" s="1"/>
  <c r="P911" i="1" s="1"/>
  <c r="N37" i="1"/>
  <c r="N3" i="1"/>
  <c r="N571" i="1"/>
  <c r="O571" i="1" s="1"/>
  <c r="P571" i="1" s="1"/>
  <c r="N821" i="1"/>
  <c r="O821" i="1" s="1"/>
  <c r="P821" i="1" s="1"/>
  <c r="N985" i="1"/>
  <c r="O985" i="1" s="1"/>
  <c r="P985" i="1" s="1"/>
  <c r="N945" i="1"/>
  <c r="O945" i="1" s="1"/>
  <c r="P945" i="1" s="1"/>
  <c r="N1063" i="1"/>
  <c r="O1063" i="1" s="1"/>
  <c r="P1063" i="1" s="1"/>
  <c r="O394" i="1"/>
  <c r="P394" i="1" s="1"/>
  <c r="O696" i="1"/>
  <c r="P696" i="1" s="1"/>
  <c r="O697" i="1"/>
  <c r="P697" i="1" s="1"/>
  <c r="O378" i="1"/>
  <c r="P378" i="1" s="1"/>
  <c r="O1187" i="1"/>
  <c r="P1187" i="1" s="1"/>
  <c r="O680" i="1"/>
  <c r="P680" i="1" s="1"/>
  <c r="O1104" i="1"/>
  <c r="P1104" i="1" s="1"/>
  <c r="O302" i="1"/>
  <c r="P302" i="1" s="1"/>
  <c r="O900" i="1"/>
  <c r="P900" i="1" s="1"/>
  <c r="O518" i="1"/>
  <c r="P518" i="1" s="1"/>
  <c r="O604" i="1"/>
  <c r="P604" i="1" s="1"/>
  <c r="O204" i="1"/>
  <c r="P204" i="1" s="1"/>
  <c r="O110" i="1"/>
  <c r="P110" i="1" s="1"/>
  <c r="O70" i="1"/>
  <c r="P70" i="1" s="1"/>
  <c r="O966" i="1"/>
  <c r="P966" i="1" s="1"/>
  <c r="O565" i="1"/>
  <c r="P565" i="1" s="1"/>
  <c r="O1043" i="1"/>
  <c r="P1043" i="1" s="1"/>
  <c r="O809" i="1"/>
  <c r="P809" i="1" s="1"/>
  <c r="O854" i="1"/>
  <c r="P854" i="1" s="1"/>
  <c r="O932" i="1"/>
  <c r="P932" i="1" s="1"/>
  <c r="O137" i="1"/>
  <c r="P137" i="1" s="1"/>
  <c r="O20" i="1"/>
  <c r="N395" i="1"/>
  <c r="O395" i="1" s="1"/>
  <c r="P395" i="1" s="1"/>
  <c r="N309" i="1"/>
  <c r="O309" i="1" s="1"/>
  <c r="P309" i="1" s="1"/>
  <c r="N613" i="1"/>
  <c r="O613" i="1" s="1"/>
  <c r="P613" i="1" s="1"/>
  <c r="N1124" i="1"/>
  <c r="O1124" i="1" s="1"/>
  <c r="P1124" i="1" s="1"/>
  <c r="N379" i="1"/>
  <c r="O379" i="1" s="1"/>
  <c r="P379" i="1" s="1"/>
  <c r="N703" i="1"/>
  <c r="O703" i="1" s="1"/>
  <c r="P703" i="1" s="1"/>
  <c r="N1188" i="1"/>
  <c r="O1188" i="1" s="1"/>
  <c r="P1188" i="1" s="1"/>
  <c r="N205" i="1"/>
  <c r="O205" i="1" s="1"/>
  <c r="P205" i="1" s="1"/>
  <c r="N303" i="1"/>
  <c r="O303" i="1" s="1"/>
  <c r="P303" i="1" s="1"/>
  <c r="N1105" i="1"/>
  <c r="O1105" i="1" s="1"/>
  <c r="P1105" i="1" s="1"/>
  <c r="N524" i="1"/>
  <c r="O524" i="1" s="1"/>
  <c r="P524" i="1" s="1"/>
  <c r="N901" i="1"/>
  <c r="O901" i="1" s="1"/>
  <c r="P901" i="1" s="1"/>
  <c r="N868" i="1"/>
  <c r="O868" i="1" s="1"/>
  <c r="P868" i="1" s="1"/>
  <c r="N614" i="1"/>
  <c r="O614" i="1" s="1"/>
  <c r="P614" i="1" s="1"/>
  <c r="N117" i="1"/>
  <c r="O117" i="1" s="1"/>
  <c r="P117" i="1" s="1"/>
  <c r="N967" i="1"/>
  <c r="O967" i="1" s="1"/>
  <c r="P967" i="1" s="1"/>
  <c r="N77" i="1"/>
  <c r="O77" i="1" s="1"/>
  <c r="P77" i="1" s="1"/>
  <c r="N1044" i="1"/>
  <c r="O1044" i="1" s="1"/>
  <c r="P1044" i="1" s="1"/>
  <c r="N566" i="1"/>
  <c r="O566" i="1" s="1"/>
  <c r="P566" i="1" s="1"/>
  <c r="N810" i="1"/>
  <c r="O810" i="1" s="1"/>
  <c r="P810" i="1" s="1"/>
  <c r="N21" i="1"/>
  <c r="N933" i="1"/>
  <c r="O933" i="1" s="1"/>
  <c r="P933" i="1" s="1"/>
  <c r="N139" i="1"/>
  <c r="O139" i="1" s="1"/>
  <c r="P139" i="1" s="1"/>
  <c r="O209" i="1"/>
  <c r="P209" i="1" s="1"/>
  <c r="N310" i="1"/>
  <c r="O310" i="1" s="1"/>
  <c r="P310" i="1" s="1"/>
  <c r="N396" i="1"/>
  <c r="O396" i="1" s="1"/>
  <c r="P396" i="1" s="1"/>
  <c r="N615" i="1"/>
  <c r="O615" i="1" s="1"/>
  <c r="P615" i="1" s="1"/>
  <c r="N1125" i="1"/>
  <c r="O1125" i="1" s="1"/>
  <c r="P1125" i="1" s="1"/>
  <c r="O704" i="1"/>
  <c r="P704" i="1" s="1"/>
  <c r="O1208" i="1"/>
  <c r="P1208" i="1" s="1"/>
  <c r="O210" i="1"/>
  <c r="P210" i="1" s="1"/>
  <c r="O525" i="1"/>
  <c r="P525" i="1" s="1"/>
  <c r="O39" i="1"/>
  <c r="O572" i="1"/>
  <c r="P572" i="1" s="1"/>
  <c r="O141" i="1"/>
  <c r="P141" i="1" s="1"/>
  <c r="O986" i="1"/>
  <c r="P986" i="1" s="1"/>
  <c r="O311" i="1"/>
  <c r="P311" i="1" s="1"/>
  <c r="O1126" i="1"/>
  <c r="P1126" i="1" s="1"/>
  <c r="O616" i="1"/>
  <c r="P616" i="1" s="1"/>
  <c r="O1064" i="1"/>
  <c r="P1064" i="1" s="1"/>
  <c r="O397" i="1"/>
  <c r="P397" i="1" s="1"/>
  <c r="N398" i="1"/>
  <c r="O398" i="1" s="1"/>
  <c r="P398" i="1" s="1"/>
  <c r="N312" i="1"/>
  <c r="O312" i="1" s="1"/>
  <c r="P312" i="1" s="1"/>
  <c r="N617" i="1"/>
  <c r="O617" i="1" s="1"/>
  <c r="P617" i="1" s="1"/>
  <c r="N1127" i="1"/>
  <c r="O1127" i="1" s="1"/>
  <c r="P1127" i="1" s="1"/>
  <c r="N1209" i="1"/>
  <c r="O1209" i="1" s="1"/>
  <c r="P1209" i="1" s="1"/>
  <c r="N1106" i="1"/>
  <c r="O1106" i="1" s="1"/>
  <c r="P1106" i="1" s="1"/>
  <c r="N519" i="1"/>
  <c r="O519" i="1" s="1"/>
  <c r="P519" i="1" s="1"/>
  <c r="N855" i="1"/>
  <c r="O855" i="1" s="1"/>
  <c r="P855" i="1" s="1"/>
  <c r="N156" i="1"/>
  <c r="O156" i="1" s="1"/>
  <c r="P156" i="1" s="1"/>
  <c r="N605" i="1"/>
  <c r="O605" i="1" s="1"/>
  <c r="P605" i="1" s="1"/>
  <c r="N207" i="1"/>
  <c r="O207" i="1" s="1"/>
  <c r="P207" i="1" s="1"/>
  <c r="N121" i="1"/>
  <c r="N902" i="1"/>
  <c r="O902" i="1" s="1"/>
  <c r="P902" i="1" s="1"/>
  <c r="N78" i="1"/>
  <c r="O78" i="1" s="1"/>
  <c r="P78" i="1" s="1"/>
  <c r="N22" i="1"/>
  <c r="N567" i="1"/>
  <c r="O567" i="1" s="1"/>
  <c r="P567" i="1" s="1"/>
  <c r="N811" i="1"/>
  <c r="O811" i="1" s="1"/>
  <c r="P811" i="1" s="1"/>
  <c r="N968" i="1"/>
  <c r="O968" i="1" s="1"/>
  <c r="P968" i="1" s="1"/>
  <c r="N934" i="1"/>
  <c r="O934" i="1" s="1"/>
  <c r="P934" i="1" s="1"/>
  <c r="N1045" i="1"/>
  <c r="O1045" i="1" s="1"/>
  <c r="P1045" i="1" s="1"/>
  <c r="N380" i="1"/>
  <c r="O380" i="1" s="1"/>
  <c r="P380" i="1" s="1"/>
  <c r="N304" i="1"/>
  <c r="O304" i="1" s="1"/>
  <c r="P304" i="1" s="1"/>
  <c r="N681" i="1"/>
  <c r="O681" i="1" s="1"/>
  <c r="P681" i="1" s="1"/>
  <c r="N399" i="1"/>
  <c r="O399" i="1" s="1"/>
  <c r="P399" i="1" s="1"/>
  <c r="N1210" i="1"/>
  <c r="O1210" i="1" s="1"/>
  <c r="P1210" i="1" s="1"/>
  <c r="N313" i="1"/>
  <c r="O313" i="1" s="1"/>
  <c r="P313" i="1" s="1"/>
  <c r="N618" i="1"/>
  <c r="O618" i="1" s="1"/>
  <c r="P618" i="1" s="1"/>
  <c r="N705" i="1"/>
  <c r="O705" i="1" s="1"/>
  <c r="P705" i="1" s="1"/>
  <c r="N1128" i="1"/>
  <c r="O1128" i="1" s="1"/>
  <c r="P1128" i="1" s="1"/>
  <c r="N869" i="1"/>
  <c r="O869" i="1" s="1"/>
  <c r="P869" i="1" s="1"/>
  <c r="N142" i="1"/>
  <c r="O142" i="1" s="1"/>
  <c r="P142" i="1" s="1"/>
  <c r="N1065" i="1"/>
  <c r="O1065" i="1" s="1"/>
  <c r="P1065" i="1" s="1"/>
  <c r="N40" i="1"/>
  <c r="N987" i="1"/>
  <c r="O987" i="1" s="1"/>
  <c r="P987" i="1" s="1"/>
  <c r="N822" i="1"/>
  <c r="O822" i="1" s="1"/>
  <c r="P822" i="1" s="1"/>
  <c r="O1211" i="1"/>
  <c r="P1211" i="1" s="1"/>
  <c r="O314" i="1"/>
  <c r="P314" i="1" s="1"/>
  <c r="O400" i="1"/>
  <c r="P400" i="1" s="1"/>
  <c r="O619" i="1"/>
  <c r="P619" i="1" s="1"/>
  <c r="O1129" i="1"/>
  <c r="P1129" i="1" s="1"/>
  <c r="O706" i="1"/>
  <c r="P706" i="1" s="1"/>
  <c r="O870" i="1"/>
  <c r="P870" i="1" s="1"/>
  <c r="O143" i="1"/>
  <c r="P143" i="1" s="1"/>
  <c r="O1066" i="1"/>
  <c r="P1066" i="1" s="1"/>
  <c r="O41" i="1"/>
  <c r="O988" i="1"/>
  <c r="P988" i="1" s="1"/>
  <c r="O823" i="1"/>
  <c r="P823" i="1" s="1"/>
  <c r="O401" i="1"/>
  <c r="P401" i="1" s="1"/>
  <c r="O1212" i="1"/>
  <c r="P1212" i="1" s="1"/>
  <c r="O707" i="1"/>
  <c r="P707" i="1" s="1"/>
  <c r="O1130" i="1"/>
  <c r="P1130" i="1" s="1"/>
  <c r="O315" i="1"/>
  <c r="P315" i="1" s="1"/>
  <c r="O912" i="1"/>
  <c r="P912" i="1" s="1"/>
  <c r="O526" i="1"/>
  <c r="P526" i="1" s="1"/>
  <c r="O620" i="1"/>
  <c r="P620" i="1" s="1"/>
  <c r="O211" i="1"/>
  <c r="P211" i="1" s="1"/>
  <c r="O112" i="1"/>
  <c r="P112" i="1" s="1"/>
  <c r="O42" i="1"/>
  <c r="O989" i="1"/>
  <c r="P989" i="1" s="1"/>
  <c r="O573" i="1"/>
  <c r="P573" i="1" s="1"/>
  <c r="O1067" i="1"/>
  <c r="P1067" i="1" s="1"/>
  <c r="O824" i="1"/>
  <c r="P824" i="1" s="1"/>
  <c r="O871" i="1"/>
  <c r="P871" i="1" s="1"/>
  <c r="O947" i="1"/>
  <c r="P947" i="1" s="1"/>
  <c r="O144" i="1"/>
  <c r="P144" i="1" s="1"/>
  <c r="O4" i="1"/>
  <c r="N402" i="1"/>
  <c r="O402" i="1" s="1"/>
  <c r="P402" i="1" s="1"/>
  <c r="N316" i="1"/>
  <c r="O316" i="1" s="1"/>
  <c r="P316" i="1" s="1"/>
  <c r="N621" i="1"/>
  <c r="O621" i="1" s="1"/>
  <c r="P621" i="1" s="1"/>
  <c r="N1131" i="1"/>
  <c r="O1131" i="1" s="1"/>
  <c r="P1131" i="1" s="1"/>
  <c r="O698" i="1"/>
  <c r="P698" i="1" s="1"/>
  <c r="O403" i="1"/>
  <c r="P403" i="1" s="1"/>
  <c r="O404" i="1"/>
  <c r="P404" i="1" s="1"/>
  <c r="O990" i="1"/>
  <c r="P990" i="1" s="1"/>
  <c r="O405" i="1"/>
  <c r="P405" i="1" s="1"/>
  <c r="O406" i="1"/>
  <c r="P406" i="1" s="1"/>
  <c r="O407" i="1"/>
  <c r="P407" i="1" s="1"/>
  <c r="N408" i="1"/>
  <c r="O408" i="1" s="1"/>
  <c r="P408" i="1" s="1"/>
  <c r="N317" i="1"/>
  <c r="O317" i="1" s="1"/>
  <c r="P317" i="1" s="1"/>
  <c r="N622" i="1"/>
  <c r="O622" i="1" s="1"/>
  <c r="P622" i="1" s="1"/>
  <c r="N1132" i="1"/>
  <c r="O1132" i="1" s="1"/>
  <c r="P1132" i="1" s="1"/>
  <c r="O1191" i="1"/>
  <c r="P1191" i="1" s="1"/>
  <c r="O709" i="1"/>
  <c r="P709" i="1" s="1"/>
  <c r="O279" i="1"/>
  <c r="P279" i="1" s="1"/>
  <c r="O387" i="1"/>
  <c r="P387" i="1" s="1"/>
  <c r="O347" i="1"/>
  <c r="P347" i="1" s="1"/>
  <c r="O1109" i="1"/>
  <c r="P1109" i="1" s="1"/>
  <c r="O521" i="1"/>
  <c r="P521" i="1" s="1"/>
  <c r="O872" i="1"/>
  <c r="P872" i="1" s="1"/>
  <c r="O623" i="1"/>
  <c r="P623" i="1" s="1"/>
  <c r="O122" i="1"/>
  <c r="P122" i="1" s="1"/>
  <c r="O81" i="1"/>
  <c r="P81" i="1" s="1"/>
  <c r="O569" i="1"/>
  <c r="P569" i="1" s="1"/>
  <c r="O814" i="1"/>
  <c r="P814" i="1" s="1"/>
  <c r="O23" i="1"/>
  <c r="O903" i="1"/>
  <c r="P903" i="1" s="1"/>
  <c r="O971" i="1"/>
  <c r="P971" i="1" s="1"/>
  <c r="O1049" i="1"/>
  <c r="P1049" i="1" s="1"/>
  <c r="O935" i="1"/>
  <c r="P935" i="1" s="1"/>
  <c r="O185" i="1"/>
  <c r="P185" i="1" s="1"/>
  <c r="O1189" i="1"/>
  <c r="P1189" i="1" s="1"/>
  <c r="O306" i="1"/>
  <c r="P306" i="1" s="1"/>
  <c r="O606" i="1"/>
  <c r="P606" i="1" s="1"/>
  <c r="O1107" i="1"/>
  <c r="P1107" i="1" s="1"/>
  <c r="O381" i="1"/>
  <c r="P381" i="1" s="1"/>
  <c r="O683" i="1"/>
  <c r="P683" i="1" s="1"/>
  <c r="O856" i="1"/>
  <c r="P856" i="1" s="1"/>
  <c r="O183" i="1"/>
  <c r="P183" i="1" s="1"/>
  <c r="O1046" i="1"/>
  <c r="P1046" i="1" s="1"/>
  <c r="O79" i="1"/>
  <c r="P79" i="1" s="1"/>
  <c r="O969" i="1"/>
  <c r="P969" i="1" s="1"/>
  <c r="O812" i="1"/>
  <c r="P812" i="1" s="1"/>
  <c r="N409" i="1"/>
  <c r="O409" i="1" s="1"/>
  <c r="P409" i="1" s="1"/>
  <c r="N711" i="1"/>
  <c r="O711" i="1" s="1"/>
  <c r="P711" i="1" s="1"/>
  <c r="N1203" i="1"/>
  <c r="O1203" i="1" s="1"/>
  <c r="P1203" i="1" s="1"/>
  <c r="N212" i="1"/>
  <c r="O212" i="1" s="1"/>
  <c r="P212" i="1" s="1"/>
  <c r="N527" i="1"/>
  <c r="O527" i="1" s="1"/>
  <c r="P527" i="1" s="1"/>
  <c r="N43" i="1"/>
  <c r="N574" i="1"/>
  <c r="O574" i="1" s="1"/>
  <c r="P574" i="1" s="1"/>
  <c r="N145" i="1"/>
  <c r="O145" i="1" s="1"/>
  <c r="P145" i="1" s="1"/>
  <c r="N992" i="1"/>
  <c r="O992" i="1" s="1"/>
  <c r="P992" i="1" s="1"/>
  <c r="N318" i="1"/>
  <c r="O318" i="1" s="1"/>
  <c r="P318" i="1" s="1"/>
  <c r="N1121" i="1"/>
  <c r="O1121" i="1" s="1"/>
  <c r="P1121" i="1" s="1"/>
  <c r="N624" i="1"/>
  <c r="O624" i="1" s="1"/>
  <c r="P624" i="1" s="1"/>
  <c r="N1062" i="1"/>
  <c r="O1062" i="1" s="1"/>
  <c r="P1062" i="1" s="1"/>
  <c r="O429" i="1"/>
  <c r="P429" i="1" s="1"/>
  <c r="N993" i="1"/>
  <c r="O993" i="1" s="1"/>
  <c r="P993" i="1" s="1"/>
  <c r="O410" i="1"/>
  <c r="P410" i="1" s="1"/>
  <c r="O687" i="1"/>
  <c r="P687" i="1" s="1"/>
  <c r="O1192" i="1"/>
  <c r="P1192" i="1" s="1"/>
  <c r="O712" i="1"/>
  <c r="P712" i="1" s="1"/>
  <c r="O1214" i="1"/>
  <c r="P1214" i="1" s="1"/>
  <c r="O213" i="1"/>
  <c r="P213" i="1" s="1"/>
  <c r="O528" i="1"/>
  <c r="P528" i="1" s="1"/>
  <c r="O44" i="1"/>
  <c r="O575" i="1"/>
  <c r="P575" i="1" s="1"/>
  <c r="O146" i="1"/>
  <c r="P146" i="1" s="1"/>
  <c r="O360" i="1"/>
  <c r="P360" i="1" s="1"/>
  <c r="O1110" i="1"/>
  <c r="P1110" i="1" s="1"/>
  <c r="O522" i="1"/>
  <c r="P522" i="1" s="1"/>
  <c r="O860" i="1"/>
  <c r="P860" i="1" s="1"/>
  <c r="O186" i="1"/>
  <c r="P186" i="1" s="1"/>
  <c r="O609" i="1"/>
  <c r="P609" i="1" s="1"/>
  <c r="O280" i="1"/>
  <c r="P280" i="1" s="1"/>
  <c r="O994" i="1"/>
  <c r="P994" i="1" s="1"/>
  <c r="O123" i="1"/>
  <c r="P123" i="1" s="1"/>
  <c r="O319" i="1"/>
  <c r="P319" i="1" s="1"/>
  <c r="O904" i="1"/>
  <c r="P904" i="1" s="1"/>
  <c r="O82" i="1"/>
  <c r="P82" i="1" s="1"/>
  <c r="O1134" i="1"/>
  <c r="P1134" i="1" s="1"/>
  <c r="O24" i="1"/>
  <c r="O570" i="1"/>
  <c r="P570" i="1" s="1"/>
  <c r="O815" i="1"/>
  <c r="P815" i="1" s="1"/>
  <c r="O972" i="1"/>
  <c r="P972" i="1" s="1"/>
  <c r="O936" i="1"/>
  <c r="P936" i="1" s="1"/>
  <c r="O1050" i="1"/>
  <c r="P1050" i="1" s="1"/>
  <c r="O626" i="1"/>
  <c r="P626" i="1" s="1"/>
  <c r="O1069" i="1"/>
  <c r="P1069" i="1" s="1"/>
  <c r="O214" i="1"/>
  <c r="P214" i="1" s="1"/>
  <c r="N411" i="1"/>
  <c r="O411" i="1" s="1"/>
  <c r="P411" i="1" s="1"/>
  <c r="N713" i="1"/>
  <c r="O713" i="1" s="1"/>
  <c r="P713" i="1" s="1"/>
  <c r="N1215" i="1"/>
  <c r="O1215" i="1" s="1"/>
  <c r="P1215" i="1" s="1"/>
  <c r="N215" i="1"/>
  <c r="O215" i="1" s="1"/>
  <c r="P215" i="1" s="1"/>
  <c r="N529" i="1"/>
  <c r="O529" i="1" s="1"/>
  <c r="P529" i="1" s="1"/>
  <c r="N45" i="1"/>
  <c r="N576" i="1"/>
  <c r="O576" i="1" s="1"/>
  <c r="P576" i="1" s="1"/>
  <c r="N147" i="1"/>
  <c r="O147" i="1" s="1"/>
  <c r="P147" i="1" s="1"/>
  <c r="N995" i="1"/>
  <c r="O995" i="1" s="1"/>
  <c r="P995" i="1" s="1"/>
  <c r="N320" i="1"/>
  <c r="O320" i="1" s="1"/>
  <c r="P320" i="1" s="1"/>
  <c r="N1135" i="1"/>
  <c r="O1135" i="1" s="1"/>
  <c r="P1135" i="1" s="1"/>
  <c r="N627" i="1"/>
  <c r="O627" i="1" s="1"/>
  <c r="P627" i="1" s="1"/>
  <c r="N1070" i="1"/>
  <c r="O1070" i="1" s="1"/>
  <c r="P1070" i="1" s="1"/>
  <c r="O699" i="1"/>
  <c r="P699" i="1" s="1"/>
  <c r="O1216" i="1"/>
  <c r="P1216" i="1" s="1"/>
  <c r="O412" i="1"/>
  <c r="P412" i="1" s="1"/>
  <c r="O413" i="1"/>
  <c r="P413" i="1" s="1"/>
  <c r="N414" i="1"/>
  <c r="O414" i="1" s="1"/>
  <c r="P414" i="1" s="1"/>
  <c r="N715" i="1"/>
  <c r="O715" i="1" s="1"/>
  <c r="P715" i="1" s="1"/>
  <c r="N1217" i="1"/>
  <c r="O1217" i="1" s="1"/>
  <c r="P1217" i="1" s="1"/>
  <c r="N216" i="1"/>
  <c r="O216" i="1" s="1"/>
  <c r="P216" i="1" s="1"/>
  <c r="N530" i="1"/>
  <c r="O530" i="1" s="1"/>
  <c r="P530" i="1" s="1"/>
  <c r="N46" i="1"/>
  <c r="N577" i="1"/>
  <c r="O577" i="1" s="1"/>
  <c r="P577" i="1" s="1"/>
  <c r="N148" i="1"/>
  <c r="O148" i="1" s="1"/>
  <c r="P148" i="1" s="1"/>
  <c r="N996" i="1"/>
  <c r="O996" i="1" s="1"/>
  <c r="P996" i="1" s="1"/>
  <c r="N321" i="1"/>
  <c r="O321" i="1" s="1"/>
  <c r="P321" i="1" s="1"/>
  <c r="N1136" i="1"/>
  <c r="O1136" i="1" s="1"/>
  <c r="P1136" i="1" s="1"/>
  <c r="N628" i="1"/>
  <c r="O628" i="1" s="1"/>
  <c r="P628" i="1" s="1"/>
  <c r="N1071" i="1"/>
  <c r="O1071" i="1" s="1"/>
  <c r="P1071" i="1" s="1"/>
  <c r="O415" i="1"/>
  <c r="P415" i="1" s="1"/>
  <c r="O501" i="1"/>
  <c r="P501" i="1" s="1"/>
  <c r="O1193" i="1"/>
  <c r="P1193" i="1" s="1"/>
  <c r="O690" i="1"/>
  <c r="P690" i="1" s="1"/>
  <c r="O281" i="1"/>
  <c r="P281" i="1" s="1"/>
  <c r="O361" i="1"/>
  <c r="P361" i="1" s="1"/>
  <c r="O1112" i="1"/>
  <c r="P1112" i="1" s="1"/>
  <c r="O532" i="1"/>
  <c r="P532" i="1" s="1"/>
  <c r="O905" i="1"/>
  <c r="P905" i="1" s="1"/>
  <c r="O861" i="1"/>
  <c r="P861" i="1" s="1"/>
  <c r="O610" i="1"/>
  <c r="P610" i="1" s="1"/>
  <c r="O124" i="1"/>
  <c r="P124" i="1" s="1"/>
  <c r="O974" i="1"/>
  <c r="P974" i="1" s="1"/>
  <c r="O83" i="1"/>
  <c r="P83" i="1" s="1"/>
  <c r="O1052" i="1"/>
  <c r="P1052" i="1" s="1"/>
  <c r="O816" i="1"/>
  <c r="P816" i="1" s="1"/>
  <c r="O25" i="1"/>
  <c r="O939" i="1"/>
  <c r="P939" i="1" s="1"/>
  <c r="O187" i="1"/>
  <c r="P187" i="1" s="1"/>
  <c r="O578" i="1"/>
  <c r="P578" i="1" s="1"/>
  <c r="O1137" i="1"/>
  <c r="P1137" i="1" s="1"/>
  <c r="O416" i="1"/>
  <c r="P416" i="1" s="1"/>
  <c r="O701" i="1"/>
  <c r="P701" i="1" s="1"/>
  <c r="O47" i="1"/>
  <c r="P47" i="1" s="1"/>
  <c r="O1190" i="1"/>
  <c r="P1190" i="1" s="1"/>
  <c r="O250" i="1"/>
  <c r="P250" i="1" s="1"/>
  <c r="O307" i="1"/>
  <c r="P307" i="1" s="1"/>
  <c r="O386" i="1"/>
  <c r="P386" i="1" s="1"/>
  <c r="O417" i="1"/>
  <c r="P417" i="1" s="1"/>
  <c r="O607" i="1"/>
  <c r="P607" i="1" s="1"/>
  <c r="O1108" i="1"/>
  <c r="P1108" i="1" s="1"/>
  <c r="O685" i="1"/>
  <c r="P685" i="1" s="1"/>
  <c r="O858" i="1"/>
  <c r="P858" i="1" s="1"/>
  <c r="O184" i="1"/>
  <c r="P184" i="1" s="1"/>
  <c r="O1048" i="1"/>
  <c r="P1048" i="1" s="1"/>
  <c r="O80" i="1"/>
  <c r="O859" i="1"/>
  <c r="P859" i="1" s="1"/>
  <c r="O813" i="1"/>
  <c r="P813" i="1" s="1"/>
  <c r="O418" i="1"/>
  <c r="P418" i="1" s="1"/>
  <c r="O419" i="1"/>
  <c r="P419" i="1" s="1"/>
  <c r="O420" i="1"/>
  <c r="P420" i="1" s="1"/>
  <c r="O702" i="1"/>
  <c r="P702" i="1" s="1"/>
  <c r="O217" i="1"/>
  <c r="P217" i="1" s="1"/>
  <c r="O251" i="1"/>
  <c r="P251" i="1" s="1"/>
  <c r="O253" i="1"/>
  <c r="P253" i="1" s="1"/>
  <c r="N422" i="1"/>
  <c r="O422" i="1" s="1"/>
  <c r="P422" i="1" s="1"/>
  <c r="N1219" i="1"/>
  <c r="O1219" i="1" s="1"/>
  <c r="P1219" i="1" s="1"/>
  <c r="N5" i="1"/>
  <c r="N101" i="1"/>
  <c r="N1220" i="1"/>
  <c r="O1220" i="1" s="1"/>
  <c r="P1220" i="1" s="1"/>
  <c r="N826" i="1"/>
  <c r="O826" i="1" s="1"/>
  <c r="P826" i="1" s="1"/>
  <c r="N719" i="1"/>
  <c r="O719" i="1" s="1"/>
  <c r="P719" i="1" s="1"/>
  <c r="N150" i="1"/>
  <c r="O150" i="1" s="1"/>
  <c r="P150" i="1" s="1"/>
  <c r="N6" i="1"/>
  <c r="N102" i="1"/>
  <c r="O102" i="1" s="1"/>
  <c r="P102" i="1" s="1"/>
  <c r="N827" i="1"/>
  <c r="O827" i="1" s="1"/>
  <c r="P827" i="1" s="1"/>
  <c r="N323" i="1"/>
  <c r="O323" i="1" s="1"/>
  <c r="P323" i="1" s="1"/>
  <c r="N423" i="1"/>
  <c r="O423" i="1" s="1"/>
  <c r="P423" i="1" s="1"/>
  <c r="N630" i="1"/>
  <c r="O630" i="1" s="1"/>
  <c r="P630" i="1" s="1"/>
  <c r="N720" i="1"/>
  <c r="O720" i="1" s="1"/>
  <c r="P720" i="1" s="1"/>
  <c r="N151" i="1"/>
  <c r="O151" i="1" s="1"/>
  <c r="P151" i="1" s="1"/>
  <c r="N1139" i="1"/>
  <c r="O1139" i="1" s="1"/>
  <c r="P1139" i="1" s="1"/>
  <c r="N324" i="1"/>
  <c r="O324" i="1" s="1"/>
  <c r="P324" i="1" s="1"/>
  <c r="N631" i="1"/>
  <c r="O631" i="1" s="1"/>
  <c r="P631" i="1" s="1"/>
  <c r="N1140" i="1"/>
  <c r="O1140" i="1" s="1"/>
  <c r="P1140" i="1" s="1"/>
  <c r="N221" i="1"/>
  <c r="O221" i="1" s="1"/>
  <c r="P221" i="1" s="1"/>
  <c r="N998" i="1"/>
  <c r="O998" i="1" s="1"/>
  <c r="P998" i="1" s="1"/>
  <c r="N222" i="1"/>
  <c r="O222" i="1" s="1"/>
  <c r="P222" i="1" s="1"/>
  <c r="N999" i="1"/>
  <c r="O999" i="1" s="1"/>
  <c r="P999" i="1" s="1"/>
  <c r="N1221" i="1"/>
  <c r="O1221" i="1" s="1"/>
  <c r="P1221" i="1" s="1"/>
  <c r="N424" i="1"/>
  <c r="O424" i="1" s="1"/>
  <c r="P424" i="1" s="1"/>
  <c r="N325" i="1"/>
  <c r="O325" i="1" s="1"/>
  <c r="P325" i="1" s="1"/>
  <c r="N1141" i="1"/>
  <c r="O1141" i="1" s="1"/>
  <c r="P1141" i="1" s="1"/>
  <c r="N531" i="1"/>
  <c r="O531" i="1" s="1"/>
  <c r="P531" i="1" s="1"/>
  <c r="N874" i="1"/>
  <c r="O874" i="1" s="1"/>
  <c r="P874" i="1" s="1"/>
  <c r="N152" i="1"/>
  <c r="O152" i="1" s="1"/>
  <c r="P152" i="1" s="1"/>
  <c r="N632" i="1"/>
  <c r="O632" i="1" s="1"/>
  <c r="P632" i="1" s="1"/>
  <c r="N223" i="1"/>
  <c r="O223" i="1" s="1"/>
  <c r="P223" i="1" s="1"/>
  <c r="N113" i="1"/>
  <c r="O113" i="1" s="1"/>
  <c r="P113" i="1" s="1"/>
  <c r="N913" i="1"/>
  <c r="O913" i="1" s="1"/>
  <c r="P913" i="1" s="1"/>
  <c r="N49" i="1"/>
  <c r="O49" i="1" s="1"/>
  <c r="P49" i="1" s="1"/>
  <c r="N7" i="1"/>
  <c r="N579" i="1"/>
  <c r="O579" i="1" s="1"/>
  <c r="P579" i="1" s="1"/>
  <c r="N828" i="1"/>
  <c r="O828" i="1" s="1"/>
  <c r="P828" i="1" s="1"/>
  <c r="N1000" i="1"/>
  <c r="O1000" i="1" s="1"/>
  <c r="P1000" i="1" s="1"/>
  <c r="N948" i="1"/>
  <c r="O948" i="1" s="1"/>
  <c r="P948" i="1" s="1"/>
  <c r="N1073" i="1"/>
  <c r="O1073" i="1" s="1"/>
  <c r="P1073" i="1" s="1"/>
  <c r="N721" i="1"/>
  <c r="O721" i="1" s="1"/>
  <c r="P721" i="1" s="1"/>
  <c r="O254" i="1"/>
  <c r="O255" i="1"/>
  <c r="O256" i="1"/>
  <c r="O425" i="1"/>
  <c r="P425" i="1" s="1"/>
  <c r="O426" i="1"/>
  <c r="P426" i="1" s="1"/>
  <c r="O427" i="1"/>
  <c r="P427" i="1" s="1"/>
  <c r="N326" i="1"/>
  <c r="O326" i="1" s="1"/>
  <c r="P326" i="1" s="1"/>
  <c r="N428" i="1"/>
  <c r="O428" i="1" s="1"/>
  <c r="P428" i="1" s="1"/>
  <c r="N633" i="1"/>
  <c r="O633" i="1" s="1"/>
  <c r="P633" i="1" s="1"/>
  <c r="N1142" i="1"/>
  <c r="O1142" i="1" s="1"/>
  <c r="P1142" i="1" s="1"/>
  <c r="O503" i="1"/>
  <c r="P503" i="1" s="1"/>
  <c r="O1196" i="1"/>
  <c r="P1196" i="1" s="1"/>
  <c r="O692" i="1"/>
  <c r="P692" i="1" s="1"/>
  <c r="O1114" i="1"/>
  <c r="P1114" i="1" s="1"/>
  <c r="O363" i="1"/>
  <c r="P363" i="1" s="1"/>
  <c r="O906" i="1"/>
  <c r="P906" i="1" s="1"/>
  <c r="O552" i="1"/>
  <c r="P552" i="1" s="1"/>
  <c r="O625" i="1"/>
  <c r="P625" i="1" s="1"/>
  <c r="O282" i="1"/>
  <c r="O125" i="1"/>
  <c r="P125" i="1" s="1"/>
  <c r="O85" i="1"/>
  <c r="P85" i="1" s="1"/>
  <c r="O976" i="1"/>
  <c r="P976" i="1" s="1"/>
  <c r="O591" i="1"/>
  <c r="P591" i="1" s="1"/>
  <c r="O1054" i="1"/>
  <c r="P1054" i="1" s="1"/>
  <c r="O818" i="1"/>
  <c r="P818" i="1" s="1"/>
  <c r="O863" i="1"/>
  <c r="P863" i="1" s="1"/>
  <c r="O940" i="1"/>
  <c r="P940" i="1" s="1"/>
  <c r="O189" i="1"/>
  <c r="P189" i="1" s="1"/>
  <c r="O26" i="1"/>
  <c r="O327" i="1"/>
  <c r="P327" i="1" s="1"/>
  <c r="O708" i="1"/>
  <c r="P708" i="1" s="1"/>
  <c r="O1195" i="1"/>
  <c r="P1195" i="1" s="1"/>
  <c r="O362" i="1"/>
  <c r="P362" i="1" s="1"/>
  <c r="O611" i="1"/>
  <c r="P611" i="1" s="1"/>
  <c r="O1113" i="1"/>
  <c r="P1113" i="1" s="1"/>
  <c r="O502" i="1"/>
  <c r="P502" i="1" s="1"/>
  <c r="O691" i="1"/>
  <c r="P691" i="1" s="1"/>
  <c r="O862" i="1"/>
  <c r="P862" i="1" s="1"/>
  <c r="O188" i="1"/>
  <c r="P188" i="1" s="1"/>
  <c r="O1053" i="1"/>
  <c r="P1053" i="1" s="1"/>
  <c r="O84" i="1"/>
  <c r="P84" i="1" s="1"/>
  <c r="O975" i="1"/>
  <c r="P975" i="1" s="1"/>
  <c r="O817" i="1"/>
  <c r="P817" i="1" s="1"/>
  <c r="O723" i="1"/>
  <c r="P723" i="1" s="1"/>
  <c r="O1222" i="1"/>
  <c r="P1222" i="1" s="1"/>
  <c r="O227" i="1"/>
  <c r="O533" i="1"/>
  <c r="P533" i="1" s="1"/>
  <c r="O50" i="1"/>
  <c r="P50" i="1" s="1"/>
  <c r="O580" i="1"/>
  <c r="P580" i="1" s="1"/>
  <c r="O153" i="1"/>
  <c r="P153" i="1" s="1"/>
  <c r="O1001" i="1"/>
  <c r="P1001" i="1" s="1"/>
  <c r="O430" i="1"/>
  <c r="P430" i="1" s="1"/>
  <c r="O328" i="1"/>
  <c r="P328" i="1" s="1"/>
  <c r="O1144" i="1"/>
  <c r="P1144" i="1" s="1"/>
  <c r="O634" i="1"/>
  <c r="P634" i="1" s="1"/>
  <c r="O1074" i="1"/>
  <c r="P1074" i="1" s="1"/>
  <c r="O1198" i="1"/>
  <c r="P1198" i="1" s="1"/>
  <c r="O366" i="1"/>
  <c r="P366" i="1" s="1"/>
  <c r="O666" i="1"/>
  <c r="P666" i="1" s="1"/>
  <c r="O1116" i="1"/>
  <c r="P1116" i="1" s="1"/>
  <c r="O505" i="1"/>
  <c r="P505" i="1" s="1"/>
  <c r="O777" i="1"/>
  <c r="P777" i="1" s="1"/>
  <c r="O865" i="1"/>
  <c r="P865" i="1" s="1"/>
  <c r="O192" i="1"/>
  <c r="P192" i="1" s="1"/>
  <c r="O1056" i="1"/>
  <c r="P1056" i="1" s="1"/>
  <c r="O88" i="1"/>
  <c r="P88" i="1" s="1"/>
  <c r="O978" i="1"/>
  <c r="P978" i="1" s="1"/>
  <c r="O820" i="1"/>
  <c r="P820" i="1" s="1"/>
  <c r="O431" i="1"/>
  <c r="P431" i="1" s="1"/>
  <c r="N432" i="1"/>
  <c r="O432" i="1" s="1"/>
  <c r="P432" i="1" s="1"/>
  <c r="N329" i="1"/>
  <c r="O329" i="1" s="1"/>
  <c r="P329" i="1" s="1"/>
  <c r="N1223" i="1"/>
  <c r="O1223" i="1" s="1"/>
  <c r="P1223" i="1" s="1"/>
  <c r="N724" i="1"/>
  <c r="O724" i="1" s="1"/>
  <c r="P724" i="1" s="1"/>
  <c r="N1145" i="1"/>
  <c r="O1145" i="1" s="1"/>
  <c r="P1145" i="1" s="1"/>
  <c r="N534" i="1"/>
  <c r="O534" i="1" s="1"/>
  <c r="P534" i="1" s="1"/>
  <c r="N875" i="1"/>
  <c r="O875" i="1" s="1"/>
  <c r="P875" i="1" s="1"/>
  <c r="N154" i="1"/>
  <c r="O154" i="1" s="1"/>
  <c r="P154" i="1" s="1"/>
  <c r="N635" i="1"/>
  <c r="O635" i="1" s="1"/>
  <c r="P635" i="1" s="1"/>
  <c r="N228" i="1"/>
  <c r="O228" i="1" s="1"/>
  <c r="N114" i="1"/>
  <c r="O114" i="1" s="1"/>
  <c r="P114" i="1" s="1"/>
  <c r="N914" i="1"/>
  <c r="O914" i="1" s="1"/>
  <c r="P914" i="1" s="1"/>
  <c r="N51" i="1"/>
  <c r="O51" i="1" s="1"/>
  <c r="P51" i="1" s="1"/>
  <c r="N8" i="1"/>
  <c r="N581" i="1"/>
  <c r="O581" i="1" s="1"/>
  <c r="P581" i="1" s="1"/>
  <c r="N829" i="1"/>
  <c r="O829" i="1" s="1"/>
  <c r="P829" i="1" s="1"/>
  <c r="N1002" i="1"/>
  <c r="O1002" i="1" s="1"/>
  <c r="P1002" i="1" s="1"/>
  <c r="N949" i="1"/>
  <c r="O949" i="1" s="1"/>
  <c r="P949" i="1" s="1"/>
  <c r="N1075" i="1"/>
  <c r="O1075" i="1" s="1"/>
  <c r="P1075" i="1" s="1"/>
  <c r="O257" i="1"/>
  <c r="O714" i="1"/>
  <c r="P714" i="1" s="1"/>
  <c r="O716" i="1"/>
  <c r="P716" i="1" s="1"/>
  <c r="N1224" i="1"/>
  <c r="O1224" i="1" s="1"/>
  <c r="P1224" i="1" s="1"/>
  <c r="N727" i="1"/>
  <c r="O727" i="1" s="1"/>
  <c r="P727" i="1" s="1"/>
  <c r="N950" i="1"/>
  <c r="O950" i="1" s="1"/>
  <c r="P950" i="1" s="1"/>
  <c r="N433" i="1"/>
  <c r="O433" i="1" s="1"/>
  <c r="P433" i="1" s="1"/>
  <c r="N330" i="1"/>
  <c r="O330" i="1" s="1"/>
  <c r="P330" i="1" s="1"/>
  <c r="N636" i="1"/>
  <c r="O636" i="1" s="1"/>
  <c r="P636" i="1" s="1"/>
  <c r="N1146" i="1"/>
  <c r="O1146" i="1" s="1"/>
  <c r="P1146" i="1" s="1"/>
  <c r="N230" i="1"/>
  <c r="N1003" i="1"/>
  <c r="O1003" i="1" s="1"/>
  <c r="P1003" i="1" s="1"/>
  <c r="N103" i="1"/>
  <c r="O103" i="1" s="1"/>
  <c r="P103" i="1" s="1"/>
  <c r="N1076" i="1"/>
  <c r="O1076" i="1" s="1"/>
  <c r="P1076" i="1" s="1"/>
  <c r="N535" i="1"/>
  <c r="O535" i="1" s="1"/>
  <c r="P535" i="1" s="1"/>
  <c r="N915" i="1"/>
  <c r="O915" i="1" s="1"/>
  <c r="P915" i="1" s="1"/>
  <c r="N9" i="1"/>
  <c r="N155" i="1"/>
  <c r="O155" i="1" s="1"/>
  <c r="P155" i="1" s="1"/>
  <c r="N504" i="1"/>
  <c r="O504" i="1" s="1"/>
  <c r="P504" i="1" s="1"/>
  <c r="N710" i="1"/>
  <c r="O710" i="1" s="1"/>
  <c r="P710" i="1" s="1"/>
  <c r="N283" i="1"/>
  <c r="O283" i="1" s="1"/>
  <c r="P283" i="1" s="1"/>
  <c r="N364" i="1"/>
  <c r="O364" i="1" s="1"/>
  <c r="P364" i="1" s="1"/>
  <c r="N1115" i="1"/>
  <c r="O1115" i="1" s="1"/>
  <c r="P1115" i="1" s="1"/>
  <c r="N553" i="1"/>
  <c r="O553" i="1" s="1"/>
  <c r="P553" i="1" s="1"/>
  <c r="N665" i="1"/>
  <c r="O665" i="1" s="1"/>
  <c r="P665" i="1" s="1"/>
  <c r="N126" i="1"/>
  <c r="O126" i="1" s="1"/>
  <c r="P126" i="1" s="1"/>
  <c r="N87" i="1"/>
  <c r="O87" i="1" s="1"/>
  <c r="P87" i="1" s="1"/>
  <c r="N592" i="1"/>
  <c r="O592" i="1" s="1"/>
  <c r="P592" i="1" s="1"/>
  <c r="N27" i="1"/>
  <c r="N907" i="1"/>
  <c r="O907" i="1" s="1"/>
  <c r="P907" i="1" s="1"/>
  <c r="N864" i="1"/>
  <c r="O864" i="1" s="1"/>
  <c r="P864" i="1" s="1"/>
  <c r="N1197" i="1"/>
  <c r="O1197" i="1" s="1"/>
  <c r="P1197" i="1" s="1"/>
  <c r="N977" i="1"/>
  <c r="O977" i="1" s="1"/>
  <c r="P977" i="1" s="1"/>
  <c r="N1055" i="1"/>
  <c r="O1055" i="1" s="1"/>
  <c r="P1055" i="1" s="1"/>
  <c r="N191" i="1"/>
  <c r="O191" i="1" s="1"/>
  <c r="P191" i="1" s="1"/>
  <c r="N819" i="1"/>
  <c r="O819" i="1" s="1"/>
  <c r="P819" i="1" s="1"/>
  <c r="N941" i="1"/>
  <c r="O941" i="1" s="1"/>
  <c r="P941" i="1" s="1"/>
  <c r="O218" i="1"/>
  <c r="P218" i="1" s="1"/>
  <c r="N1225" i="1"/>
  <c r="O1225" i="1" s="1"/>
  <c r="P1225" i="1" s="1"/>
  <c r="N728" i="1"/>
  <c r="O728" i="1" s="1"/>
  <c r="P728" i="1" s="1"/>
  <c r="N951" i="1"/>
  <c r="O951" i="1" s="1"/>
  <c r="P951" i="1" s="1"/>
  <c r="N434" i="1"/>
  <c r="O434" i="1" s="1"/>
  <c r="P434" i="1" s="1"/>
  <c r="N157" i="1"/>
  <c r="O157" i="1" s="1"/>
  <c r="P157" i="1" s="1"/>
  <c r="N331" i="1"/>
  <c r="O331" i="1" s="1"/>
  <c r="P331" i="1" s="1"/>
  <c r="N637" i="1"/>
  <c r="O637" i="1" s="1"/>
  <c r="P637" i="1" s="1"/>
  <c r="N1147" i="1"/>
  <c r="O1147" i="1" s="1"/>
  <c r="P1147" i="1" s="1"/>
  <c r="N232" i="1"/>
  <c r="O232" i="1" s="1"/>
  <c r="P232" i="1" s="1"/>
  <c r="N1004" i="1"/>
  <c r="O1004" i="1" s="1"/>
  <c r="P1004" i="1" s="1"/>
  <c r="N104" i="1"/>
  <c r="N1077" i="1"/>
  <c r="O1077" i="1" s="1"/>
  <c r="P1077" i="1" s="1"/>
  <c r="N536" i="1"/>
  <c r="O536" i="1" s="1"/>
  <c r="P536" i="1" s="1"/>
  <c r="N1226" i="1"/>
  <c r="O1226" i="1" s="1"/>
  <c r="P1226" i="1" s="1"/>
  <c r="N916" i="1"/>
  <c r="O916" i="1" s="1"/>
  <c r="P916" i="1" s="1"/>
  <c r="N729" i="1"/>
  <c r="O729" i="1" s="1"/>
  <c r="P729" i="1" s="1"/>
  <c r="N952" i="1"/>
  <c r="O952" i="1" s="1"/>
  <c r="P952" i="1" s="1"/>
  <c r="N435" i="1"/>
  <c r="O435" i="1" s="1"/>
  <c r="P435" i="1" s="1"/>
  <c r="N158" i="1"/>
  <c r="O158" i="1" s="1"/>
  <c r="P158" i="1" s="1"/>
  <c r="N332" i="1"/>
  <c r="O332" i="1" s="1"/>
  <c r="P332" i="1" s="1"/>
  <c r="N10" i="1"/>
  <c r="N638" i="1"/>
  <c r="O638" i="1" s="1"/>
  <c r="P638" i="1" s="1"/>
  <c r="N1148" i="1"/>
  <c r="O1148" i="1" s="1"/>
  <c r="P1148" i="1" s="1"/>
  <c r="N233" i="1"/>
  <c r="O233" i="1" s="1"/>
  <c r="P233" i="1" s="1"/>
  <c r="N1005" i="1"/>
  <c r="O1005" i="1" s="1"/>
  <c r="P1005" i="1" s="1"/>
  <c r="N105" i="1"/>
  <c r="O105" i="1" s="1"/>
  <c r="P105" i="1" s="1"/>
  <c r="N1078" i="1"/>
  <c r="O1078" i="1" s="1"/>
  <c r="P1078" i="1" s="1"/>
  <c r="N537" i="1"/>
  <c r="O537" i="1" s="1"/>
  <c r="P537" i="1" s="1"/>
  <c r="N917" i="1"/>
  <c r="O917" i="1" s="1"/>
  <c r="P917" i="1" s="1"/>
  <c r="N11" i="1"/>
  <c r="O1006" i="1"/>
  <c r="P1006" i="1" s="1"/>
  <c r="O436" i="1"/>
  <c r="P436" i="1" s="1"/>
  <c r="O437" i="1"/>
  <c r="P437" i="1" s="1"/>
  <c r="N1227" i="1"/>
  <c r="O1227" i="1" s="1"/>
  <c r="P1227" i="1" s="1"/>
  <c r="N234" i="1"/>
  <c r="O234" i="1" s="1"/>
  <c r="P234" i="1" s="1"/>
  <c r="N52" i="1"/>
  <c r="O52" i="1" s="1"/>
  <c r="P52" i="1" s="1"/>
  <c r="N582" i="1"/>
  <c r="O582" i="1" s="1"/>
  <c r="P582" i="1" s="1"/>
  <c r="N159" i="1"/>
  <c r="O159" i="1" s="1"/>
  <c r="P159" i="1" s="1"/>
  <c r="N1007" i="1"/>
  <c r="O1007" i="1" s="1"/>
  <c r="P1007" i="1" s="1"/>
  <c r="N438" i="1"/>
  <c r="O438" i="1" s="1"/>
  <c r="P438" i="1" s="1"/>
  <c r="N333" i="1"/>
  <c r="O333" i="1" s="1"/>
  <c r="P333" i="1" s="1"/>
  <c r="N1149" i="1"/>
  <c r="O1149" i="1" s="1"/>
  <c r="P1149" i="1" s="1"/>
  <c r="N639" i="1"/>
  <c r="O639" i="1" s="1"/>
  <c r="P639" i="1" s="1"/>
  <c r="N538" i="1"/>
  <c r="O538" i="1" s="1"/>
  <c r="P538" i="1" s="1"/>
  <c r="N1079" i="1"/>
  <c r="O1079" i="1" s="1"/>
  <c r="P1079" i="1" s="1"/>
  <c r="O1008" i="1"/>
  <c r="P1008" i="1" s="1"/>
  <c r="N730" i="1"/>
  <c r="O730" i="1" s="1"/>
  <c r="P730" i="1" s="1"/>
  <c r="O439" i="1"/>
  <c r="P439" i="1" s="1"/>
  <c r="O731" i="1"/>
  <c r="P731" i="1" s="1"/>
  <c r="O1228" i="1"/>
  <c r="P1228" i="1" s="1"/>
  <c r="O235" i="1"/>
  <c r="P235" i="1" s="1"/>
  <c r="O539" i="1"/>
  <c r="P539" i="1" s="1"/>
  <c r="O53" i="1"/>
  <c r="P53" i="1" s="1"/>
  <c r="O583" i="1"/>
  <c r="P583" i="1" s="1"/>
  <c r="O160" i="1"/>
  <c r="P160" i="1" s="1"/>
  <c r="O1009" i="1"/>
  <c r="P1009" i="1" s="1"/>
  <c r="O334" i="1"/>
  <c r="P334" i="1" s="1"/>
  <c r="O1150" i="1"/>
  <c r="P1150" i="1" s="1"/>
  <c r="O640" i="1"/>
  <c r="P640" i="1" s="1"/>
  <c r="O54" i="1"/>
  <c r="P54" i="1" s="1"/>
  <c r="O1229" i="1"/>
  <c r="P1229" i="1" s="1"/>
  <c r="O440" i="1"/>
  <c r="P440" i="1" s="1"/>
  <c r="O258" i="1"/>
  <c r="P258" i="1" s="1"/>
  <c r="O441" i="1"/>
  <c r="P441" i="1" s="1"/>
  <c r="O442" i="1"/>
  <c r="P442" i="1" s="1"/>
  <c r="O443" i="1"/>
  <c r="P443" i="1" s="1"/>
  <c r="O444" i="1"/>
  <c r="P444" i="1" s="1"/>
  <c r="O717" i="1"/>
  <c r="P717" i="1" s="1"/>
  <c r="O641" i="1"/>
  <c r="P641" i="1" s="1"/>
  <c r="O1151" i="1"/>
  <c r="P1151" i="1" s="1"/>
  <c r="O1230" i="1"/>
  <c r="P1230" i="1" s="1"/>
  <c r="O335" i="1"/>
  <c r="P335" i="1" s="1"/>
  <c r="O642" i="1"/>
  <c r="P642" i="1" s="1"/>
  <c r="O1152" i="1"/>
  <c r="P1152" i="1" s="1"/>
  <c r="O445" i="1"/>
  <c r="P445" i="1" s="1"/>
  <c r="O733" i="1"/>
  <c r="P733" i="1" s="1"/>
  <c r="O876" i="1"/>
  <c r="P876" i="1" s="1"/>
  <c r="O161" i="1"/>
  <c r="P161" i="1" s="1"/>
  <c r="O1080" i="1"/>
  <c r="P1080" i="1" s="1"/>
  <c r="O55" i="1"/>
  <c r="P55" i="1" s="1"/>
  <c r="O1010" i="1"/>
  <c r="P1010" i="1" s="1"/>
  <c r="O830" i="1"/>
  <c r="P830" i="1" s="1"/>
  <c r="O219" i="1"/>
  <c r="P219" i="1" s="1"/>
  <c r="O446" i="1"/>
  <c r="P446" i="1" s="1"/>
  <c r="O1081" i="1"/>
  <c r="P1081" i="1" s="1"/>
  <c r="N382" i="1"/>
  <c r="O382" i="1" s="1"/>
  <c r="P382" i="1" s="1"/>
  <c r="N686" i="1"/>
  <c r="O686" i="1" s="1"/>
  <c r="P686" i="1" s="1"/>
  <c r="N1194" i="1"/>
  <c r="O1194" i="1" s="1"/>
  <c r="P1194" i="1" s="1"/>
  <c r="N206" i="1"/>
  <c r="O206" i="1" s="1"/>
  <c r="P206" i="1" s="1"/>
  <c r="N520" i="1"/>
  <c r="O520" i="1" s="1"/>
  <c r="P520" i="1" s="1"/>
  <c r="N56" i="1"/>
  <c r="O56" i="1" s="1"/>
  <c r="P56" i="1" s="1"/>
  <c r="N568" i="1"/>
  <c r="O568" i="1" s="1"/>
  <c r="P568" i="1" s="1"/>
  <c r="N138" i="1"/>
  <c r="O138" i="1" s="1"/>
  <c r="P138" i="1" s="1"/>
  <c r="N973" i="1"/>
  <c r="O973" i="1" s="1"/>
  <c r="P973" i="1" s="1"/>
  <c r="N305" i="1"/>
  <c r="O305" i="1" s="1"/>
  <c r="P305" i="1" s="1"/>
  <c r="N1111" i="1"/>
  <c r="O1111" i="1" s="1"/>
  <c r="P1111" i="1" s="1"/>
  <c r="N608" i="1"/>
  <c r="O608" i="1" s="1"/>
  <c r="P608" i="1" s="1"/>
  <c r="N447" i="1"/>
  <c r="O447" i="1" s="1"/>
  <c r="P447" i="1" s="1"/>
  <c r="N336" i="1"/>
  <c r="O336" i="1" s="1"/>
  <c r="P336" i="1" s="1"/>
  <c r="N643" i="1"/>
  <c r="O643" i="1" s="1"/>
  <c r="P643" i="1" s="1"/>
  <c r="N1153" i="1"/>
  <c r="O1153" i="1" s="1"/>
  <c r="P1153" i="1" s="1"/>
  <c r="O722" i="1"/>
  <c r="P722" i="1" s="1"/>
  <c r="O1011" i="1"/>
  <c r="P1011" i="1" s="1"/>
  <c r="O725" i="1"/>
  <c r="P725" i="1" s="1"/>
  <c r="O726" i="1"/>
  <c r="P726" i="1" s="1"/>
  <c r="O732" i="1"/>
  <c r="P732" i="1" s="1"/>
  <c r="O734" i="1"/>
  <c r="P734" i="1" s="1"/>
  <c r="O735" i="1"/>
  <c r="P735" i="1" s="1"/>
  <c r="O1231" i="1"/>
  <c r="P1231" i="1" s="1"/>
  <c r="O740" i="1"/>
  <c r="P740" i="1" s="1"/>
  <c r="O1154" i="1"/>
  <c r="P1154" i="1" s="1"/>
  <c r="O337" i="1"/>
  <c r="P337" i="1" s="1"/>
  <c r="O448" i="1"/>
  <c r="P448" i="1" s="1"/>
  <c r="O918" i="1"/>
  <c r="P918" i="1" s="1"/>
  <c r="O540" i="1"/>
  <c r="P540" i="1" s="1"/>
  <c r="O644" i="1"/>
  <c r="P644" i="1" s="1"/>
  <c r="O238" i="1"/>
  <c r="P238" i="1" s="1"/>
  <c r="O115" i="1"/>
  <c r="P115" i="1" s="1"/>
  <c r="O57" i="1"/>
  <c r="P57" i="1" s="1"/>
  <c r="O1012" i="1"/>
  <c r="P1012" i="1" s="1"/>
  <c r="O584" i="1"/>
  <c r="P584" i="1" s="1"/>
  <c r="O1082" i="1"/>
  <c r="P1082" i="1" s="1"/>
  <c r="O831" i="1"/>
  <c r="P831" i="1" s="1"/>
  <c r="O877" i="1"/>
  <c r="P877" i="1" s="1"/>
  <c r="O953" i="1"/>
  <c r="P953" i="1" s="1"/>
  <c r="O162" i="1"/>
  <c r="P162" i="1" s="1"/>
  <c r="O12" i="1"/>
  <c r="N449" i="1"/>
  <c r="O449" i="1" s="1"/>
  <c r="P449" i="1" s="1"/>
  <c r="N338" i="1"/>
  <c r="O338" i="1" s="1"/>
  <c r="P338" i="1" s="1"/>
  <c r="N645" i="1"/>
  <c r="O645" i="1" s="1"/>
  <c r="P645" i="1" s="1"/>
  <c r="N1155" i="1"/>
  <c r="O1155" i="1" s="1"/>
  <c r="P1155" i="1" s="1"/>
  <c r="O736" i="1"/>
  <c r="P736" i="1" s="1"/>
  <c r="O450" i="1"/>
  <c r="P450" i="1" s="1"/>
  <c r="O1232" i="1"/>
  <c r="P1232" i="1" s="1"/>
  <c r="O339" i="1"/>
  <c r="P339" i="1" s="1"/>
  <c r="O646" i="1"/>
  <c r="P646" i="1" s="1"/>
  <c r="O1156" i="1"/>
  <c r="P1156" i="1" s="1"/>
  <c r="O745" i="1"/>
  <c r="P745" i="1" s="1"/>
  <c r="O878" i="1"/>
  <c r="P878" i="1" s="1"/>
  <c r="O163" i="1"/>
  <c r="P163" i="1" s="1"/>
  <c r="O1083" i="1"/>
  <c r="P1083" i="1" s="1"/>
  <c r="O58" i="1"/>
  <c r="P58" i="1" s="1"/>
  <c r="O1013" i="1"/>
  <c r="P1013" i="1" s="1"/>
  <c r="O832" i="1"/>
  <c r="P832" i="1" s="1"/>
  <c r="O164" i="1"/>
  <c r="P164" i="1" s="1"/>
  <c r="O1233" i="1"/>
  <c r="P1233" i="1" s="1"/>
  <c r="O451" i="1"/>
  <c r="P451" i="1" s="1"/>
  <c r="O220" i="1"/>
  <c r="P220" i="1" s="1"/>
  <c r="O259" i="1"/>
  <c r="P259" i="1" s="1"/>
  <c r="N224" i="1"/>
  <c r="O224" i="1" s="1"/>
  <c r="P224" i="1" s="1"/>
  <c r="N260" i="1"/>
  <c r="O260" i="1" s="1"/>
  <c r="P260" i="1" s="1"/>
  <c r="O225" i="1"/>
  <c r="P225" i="1" s="1"/>
  <c r="O261" i="1"/>
  <c r="P261" i="1" s="1"/>
  <c r="O541" i="1"/>
  <c r="P541" i="1" s="1"/>
  <c r="O59" i="1"/>
  <c r="P59" i="1" s="1"/>
  <c r="O60" i="1"/>
  <c r="P60" i="1" s="1"/>
  <c r="O1157" i="1"/>
  <c r="P1157" i="1" s="1"/>
  <c r="O1014" i="1"/>
  <c r="P1014" i="1" s="1"/>
  <c r="O452" i="1"/>
  <c r="P452" i="1" s="1"/>
  <c r="O737" i="1"/>
  <c r="P737" i="1" s="1"/>
  <c r="O454" i="1"/>
  <c r="P454" i="1" s="1"/>
  <c r="N455" i="1"/>
  <c r="O455" i="1" s="1"/>
  <c r="P455" i="1" s="1"/>
  <c r="N1235" i="1"/>
  <c r="O1235" i="1" s="1"/>
  <c r="P1235" i="1" s="1"/>
  <c r="N341" i="1"/>
  <c r="O341" i="1" s="1"/>
  <c r="P341" i="1" s="1"/>
  <c r="N648" i="1"/>
  <c r="O648" i="1" s="1"/>
  <c r="P648" i="1" s="1"/>
  <c r="N1159" i="1"/>
  <c r="O1159" i="1" s="1"/>
  <c r="P1159" i="1" s="1"/>
  <c r="N748" i="1"/>
  <c r="O748" i="1" s="1"/>
  <c r="P748" i="1" s="1"/>
  <c r="N880" i="1"/>
  <c r="O880" i="1" s="1"/>
  <c r="P880" i="1" s="1"/>
  <c r="N166" i="1"/>
  <c r="O166" i="1" s="1"/>
  <c r="P166" i="1" s="1"/>
  <c r="N1085" i="1"/>
  <c r="O1085" i="1" s="1"/>
  <c r="P1085" i="1" s="1"/>
  <c r="N62" i="1"/>
  <c r="O62" i="1" s="1"/>
  <c r="P62" i="1" s="1"/>
  <c r="N1016" i="1"/>
  <c r="O1016" i="1" s="1"/>
  <c r="P1016" i="1" s="1"/>
  <c r="N834" i="1"/>
  <c r="O834" i="1" s="1"/>
  <c r="P834" i="1" s="1"/>
  <c r="O738" i="1"/>
  <c r="P738" i="1" s="1"/>
  <c r="N456" i="1"/>
  <c r="O456" i="1" s="1"/>
  <c r="P456" i="1" s="1"/>
  <c r="N1236" i="1"/>
  <c r="O1236" i="1" s="1"/>
  <c r="P1236" i="1" s="1"/>
  <c r="N342" i="1"/>
  <c r="O342" i="1" s="1"/>
  <c r="P342" i="1" s="1"/>
  <c r="N649" i="1"/>
  <c r="O649" i="1" s="1"/>
  <c r="P649" i="1" s="1"/>
  <c r="N1160" i="1"/>
  <c r="O1160" i="1" s="1"/>
  <c r="P1160" i="1" s="1"/>
  <c r="N750" i="1"/>
  <c r="O750" i="1" s="1"/>
  <c r="P750" i="1" s="1"/>
  <c r="N881" i="1"/>
  <c r="O881" i="1" s="1"/>
  <c r="P881" i="1" s="1"/>
  <c r="N167" i="1"/>
  <c r="O167" i="1" s="1"/>
  <c r="P167" i="1" s="1"/>
  <c r="N1086" i="1"/>
  <c r="O1086" i="1" s="1"/>
  <c r="P1086" i="1" s="1"/>
  <c r="N63" i="1"/>
  <c r="O63" i="1" s="1"/>
  <c r="P63" i="1" s="1"/>
  <c r="N1017" i="1"/>
  <c r="O1017" i="1" s="1"/>
  <c r="P1017" i="1" s="1"/>
  <c r="N835" i="1"/>
  <c r="O835" i="1" s="1"/>
  <c r="P835" i="1" s="1"/>
  <c r="O739" i="1"/>
  <c r="P739" i="1" s="1"/>
  <c r="O1161" i="1"/>
  <c r="P1161" i="1" s="1"/>
  <c r="N1199" i="1"/>
  <c r="O1199" i="1" s="1"/>
  <c r="P1199" i="1" s="1"/>
  <c r="N797" i="1"/>
  <c r="O797" i="1" s="1"/>
  <c r="P797" i="1" s="1"/>
  <c r="N288" i="1"/>
  <c r="O288" i="1" s="1"/>
  <c r="P288" i="1" s="1"/>
  <c r="N507" i="1"/>
  <c r="O507" i="1" s="1"/>
  <c r="P507" i="1" s="1"/>
  <c r="N367" i="1"/>
  <c r="O367" i="1" s="1"/>
  <c r="P367" i="1" s="1"/>
  <c r="N1117" i="1"/>
  <c r="O1117" i="1" s="1"/>
  <c r="P1117" i="1" s="1"/>
  <c r="N554" i="1"/>
  <c r="O554" i="1" s="1"/>
  <c r="P554" i="1" s="1"/>
  <c r="N908" i="1"/>
  <c r="O908" i="1" s="1"/>
  <c r="P908" i="1" s="1"/>
  <c r="N866" i="1"/>
  <c r="O866" i="1" s="1"/>
  <c r="P866" i="1" s="1"/>
  <c r="N667" i="1"/>
  <c r="O667" i="1" s="1"/>
  <c r="P667" i="1" s="1"/>
  <c r="N127" i="1"/>
  <c r="O127" i="1" s="1"/>
  <c r="P127" i="1" s="1"/>
  <c r="N979" i="1"/>
  <c r="O979" i="1" s="1"/>
  <c r="P979" i="1" s="1"/>
  <c r="N89" i="1"/>
  <c r="O89" i="1" s="1"/>
  <c r="P89" i="1" s="1"/>
  <c r="N1057" i="1"/>
  <c r="O1057" i="1" s="1"/>
  <c r="P1057" i="1" s="1"/>
  <c r="N593" i="1"/>
  <c r="O593" i="1" s="1"/>
  <c r="P593" i="1" s="1"/>
  <c r="N836" i="1"/>
  <c r="O836" i="1" s="1"/>
  <c r="P836" i="1" s="1"/>
  <c r="N28" i="1"/>
  <c r="N942" i="1"/>
  <c r="O942" i="1" s="1"/>
  <c r="P942" i="1" s="1"/>
  <c r="N193" i="1"/>
  <c r="O193" i="1" s="1"/>
  <c r="P193" i="1" s="1"/>
  <c r="O741" i="1"/>
  <c r="P741" i="1" s="1"/>
  <c r="O1237" i="1"/>
  <c r="P1237" i="1" s="1"/>
  <c r="O1018" i="1"/>
  <c r="P1018" i="1" s="1"/>
  <c r="O513" i="1"/>
  <c r="P513" i="1" s="1"/>
  <c r="O1205" i="1"/>
  <c r="P1205" i="1" s="1"/>
  <c r="O373" i="1"/>
  <c r="P373" i="1" s="1"/>
  <c r="O675" i="1"/>
  <c r="P675" i="1" s="1"/>
  <c r="O1143" i="1"/>
  <c r="P1143" i="1" s="1"/>
  <c r="O804" i="1"/>
  <c r="P804" i="1" s="1"/>
  <c r="O895" i="1"/>
  <c r="P895" i="1" s="1"/>
  <c r="O199" i="1"/>
  <c r="P199" i="1" s="1"/>
  <c r="O1098" i="1"/>
  <c r="P1098" i="1" s="1"/>
  <c r="O97" i="1"/>
  <c r="P97" i="1" s="1"/>
  <c r="O1037" i="1"/>
  <c r="P1037" i="1" s="1"/>
  <c r="O849" i="1"/>
  <c r="P849" i="1" s="1"/>
  <c r="O343" i="1"/>
  <c r="P343" i="1" s="1"/>
  <c r="O226" i="1"/>
  <c r="P226" i="1" s="1"/>
  <c r="O168" i="1"/>
  <c r="P168" i="1" s="1"/>
  <c r="O742" i="1"/>
  <c r="P742" i="1" s="1"/>
  <c r="O743" i="1"/>
  <c r="P743" i="1" s="1"/>
  <c r="O169" i="1"/>
  <c r="P169" i="1" s="1"/>
  <c r="N457" i="1"/>
  <c r="O457" i="1" s="1"/>
  <c r="P457" i="1" s="1"/>
  <c r="N1238" i="1"/>
  <c r="O1238" i="1" s="1"/>
  <c r="P1238" i="1" s="1"/>
  <c r="N344" i="1"/>
  <c r="O344" i="1" s="1"/>
  <c r="P344" i="1" s="1"/>
  <c r="N1162" i="1"/>
  <c r="O1162" i="1" s="1"/>
  <c r="P1162" i="1" s="1"/>
  <c r="N542" i="1"/>
  <c r="O542" i="1" s="1"/>
  <c r="P542" i="1" s="1"/>
  <c r="N882" i="1"/>
  <c r="O882" i="1" s="1"/>
  <c r="P882" i="1" s="1"/>
  <c r="N170" i="1"/>
  <c r="O170" i="1" s="1"/>
  <c r="P170" i="1" s="1"/>
  <c r="N1051" i="1"/>
  <c r="O1051" i="1" s="1"/>
  <c r="P1051" i="1" s="1"/>
  <c r="O458" i="1"/>
  <c r="P458" i="1" s="1"/>
  <c r="O755" i="1"/>
  <c r="P755" i="1" s="1"/>
  <c r="O1239" i="1"/>
  <c r="P1239" i="1" s="1"/>
  <c r="O246" i="1"/>
  <c r="P246" i="1" s="1"/>
  <c r="O543" i="1"/>
  <c r="P543" i="1" s="1"/>
  <c r="O64" i="1"/>
  <c r="P64" i="1" s="1"/>
  <c r="O585" i="1"/>
  <c r="P585" i="1" s="1"/>
  <c r="O171" i="1"/>
  <c r="P171" i="1" s="1"/>
  <c r="O1019" i="1"/>
  <c r="P1019" i="1" s="1"/>
  <c r="O345" i="1"/>
  <c r="P345" i="1" s="1"/>
  <c r="O1163" i="1"/>
  <c r="P1163" i="1" s="1"/>
  <c r="O650" i="1"/>
  <c r="P650" i="1" s="1"/>
  <c r="O459" i="1"/>
  <c r="P459" i="1" s="1"/>
  <c r="O460" i="1"/>
  <c r="P460" i="1" s="1"/>
  <c r="O346" i="1"/>
  <c r="P346" i="1" s="1"/>
  <c r="O651" i="1"/>
  <c r="P651" i="1" s="1"/>
  <c r="O1164" i="1"/>
  <c r="P1164" i="1" s="1"/>
  <c r="O1165" i="1"/>
  <c r="P1165" i="1" s="1"/>
  <c r="O744" i="1"/>
  <c r="P744" i="1" s="1"/>
  <c r="O1240" i="1"/>
  <c r="P1240" i="1" s="1"/>
  <c r="O514" i="1"/>
  <c r="P514" i="1" s="1"/>
  <c r="O1206" i="1"/>
  <c r="P1206" i="1" s="1"/>
  <c r="O374" i="1"/>
  <c r="P374" i="1" s="1"/>
  <c r="O676" i="1"/>
  <c r="P676" i="1" s="1"/>
  <c r="O1182" i="1"/>
  <c r="P1182" i="1" s="1"/>
  <c r="O805" i="1"/>
  <c r="P805" i="1" s="1"/>
  <c r="O896" i="1"/>
  <c r="P896" i="1" s="1"/>
  <c r="O200" i="1"/>
  <c r="P200" i="1" s="1"/>
  <c r="O1100" i="1"/>
  <c r="P1100" i="1" s="1"/>
  <c r="O98" i="1"/>
  <c r="P98" i="1" s="1"/>
  <c r="O1039" i="1"/>
  <c r="P1039" i="1" s="1"/>
  <c r="O850" i="1"/>
  <c r="P850" i="1" s="1"/>
  <c r="O747" i="1"/>
  <c r="P747" i="1" s="1"/>
  <c r="N461" i="1"/>
  <c r="O461" i="1" s="1"/>
  <c r="P461" i="1" s="1"/>
  <c r="N348" i="1"/>
  <c r="O348" i="1" s="1"/>
  <c r="P348" i="1" s="1"/>
  <c r="N652" i="1"/>
  <c r="O652" i="1" s="1"/>
  <c r="P652" i="1" s="1"/>
  <c r="N1166" i="1"/>
  <c r="O1166" i="1" s="1"/>
  <c r="P1166" i="1" s="1"/>
  <c r="O749" i="1"/>
  <c r="P749" i="1" s="1"/>
  <c r="O653" i="1"/>
  <c r="P653" i="1" s="1"/>
  <c r="O462" i="1"/>
  <c r="P462" i="1" s="1"/>
  <c r="O463" i="1"/>
  <c r="P463" i="1" s="1"/>
  <c r="O1241" i="1"/>
  <c r="P1241" i="1" s="1"/>
  <c r="O1167" i="1"/>
  <c r="P1167" i="1" s="1"/>
  <c r="N1242" i="1"/>
  <c r="O1242" i="1" s="1"/>
  <c r="P1242" i="1" s="1"/>
  <c r="O1020" i="1"/>
  <c r="P1020" i="1" s="1"/>
  <c r="O1021" i="1"/>
  <c r="P1021" i="1" s="1"/>
  <c r="N349" i="1"/>
  <c r="O349" i="1" s="1"/>
  <c r="P349" i="1" s="1"/>
  <c r="N464" i="1"/>
  <c r="O464" i="1" s="1"/>
  <c r="P464" i="1" s="1"/>
  <c r="O465" i="1"/>
  <c r="P465" i="1" s="1"/>
  <c r="N654" i="1"/>
  <c r="O654" i="1" s="1"/>
  <c r="P654" i="1" s="1"/>
  <c r="N1168" i="1"/>
  <c r="O1168" i="1" s="1"/>
  <c r="P1168" i="1" s="1"/>
  <c r="N759" i="1"/>
  <c r="O759" i="1" s="1"/>
  <c r="P759" i="1" s="1"/>
  <c r="N883" i="1"/>
  <c r="O883" i="1" s="1"/>
  <c r="P883" i="1" s="1"/>
  <c r="N172" i="1"/>
  <c r="O172" i="1" s="1"/>
  <c r="P172" i="1" s="1"/>
  <c r="N1087" i="1"/>
  <c r="O1087" i="1" s="1"/>
  <c r="P1087" i="1" s="1"/>
  <c r="N65" i="1"/>
  <c r="O65" i="1" s="1"/>
  <c r="P65" i="1" s="1"/>
  <c r="N1022" i="1"/>
  <c r="O1022" i="1" s="1"/>
  <c r="P1022" i="1" s="1"/>
  <c r="N837" i="1"/>
  <c r="O837" i="1" s="1"/>
  <c r="P837" i="1" s="1"/>
  <c r="O751" i="1"/>
  <c r="P751" i="1" s="1"/>
  <c r="O262" i="1"/>
  <c r="P262" i="1" s="1"/>
  <c r="O66" i="1"/>
  <c r="P66" i="1" s="1"/>
  <c r="O100" i="1"/>
  <c r="P100" i="1" s="1"/>
  <c r="O263" i="1"/>
  <c r="P263" i="1" s="1"/>
  <c r="O264" i="1"/>
  <c r="P264" i="1" s="1"/>
  <c r="O1169" i="1"/>
  <c r="P1169" i="1" s="1"/>
  <c r="O350" i="1"/>
  <c r="P350" i="1" s="1"/>
  <c r="O229" i="1"/>
  <c r="P229" i="1" s="1"/>
  <c r="O752" i="1"/>
  <c r="P752" i="1" s="1"/>
  <c r="O231" i="1"/>
  <c r="P231" i="1" s="1"/>
  <c r="O753" i="1"/>
  <c r="P753" i="1" s="1"/>
  <c r="O466" i="1"/>
  <c r="P466" i="1" s="1"/>
  <c r="O754" i="1"/>
  <c r="P754" i="1" s="1"/>
  <c r="O1023" i="1"/>
  <c r="P1023" i="1" s="1"/>
  <c r="O1243" i="1"/>
  <c r="P1243" i="1" s="1"/>
  <c r="N655" i="1"/>
  <c r="O655" i="1" s="1"/>
  <c r="P655" i="1" s="1"/>
  <c r="N252" i="1"/>
  <c r="O252" i="1" s="1"/>
  <c r="P252" i="1" s="1"/>
  <c r="N116" i="1"/>
  <c r="O116" i="1" s="1"/>
  <c r="P116" i="1" s="1"/>
  <c r="N919" i="1"/>
  <c r="O919" i="1" s="1"/>
  <c r="P919" i="1" s="1"/>
  <c r="N67" i="1"/>
  <c r="N13" i="1"/>
  <c r="N586" i="1"/>
  <c r="O586" i="1" s="1"/>
  <c r="P586" i="1" s="1"/>
  <c r="N838" i="1"/>
  <c r="O838" i="1" s="1"/>
  <c r="P838" i="1" s="1"/>
  <c r="N1024" i="1"/>
  <c r="O1024" i="1" s="1"/>
  <c r="P1024" i="1" s="1"/>
  <c r="N954" i="1"/>
  <c r="O954" i="1" s="1"/>
  <c r="P954" i="1" s="1"/>
  <c r="N1088" i="1"/>
  <c r="O1088" i="1" s="1"/>
  <c r="P1088" i="1" s="1"/>
  <c r="N764" i="1"/>
  <c r="O764" i="1" s="1"/>
  <c r="P764" i="1" s="1"/>
  <c r="O1200" i="1"/>
  <c r="P1200" i="1" s="1"/>
  <c r="O798" i="1"/>
  <c r="P798" i="1" s="1"/>
  <c r="O1118" i="1"/>
  <c r="P1118" i="1" s="1"/>
  <c r="O909" i="1"/>
  <c r="P909" i="1" s="1"/>
  <c r="O555" i="1"/>
  <c r="P555" i="1" s="1"/>
  <c r="O368" i="1"/>
  <c r="P368" i="1" s="1"/>
  <c r="O289" i="1"/>
  <c r="P289" i="1" s="1"/>
  <c r="O1170" i="1"/>
  <c r="P1170" i="1" s="1"/>
  <c r="O173" i="1"/>
  <c r="P173" i="1" s="1"/>
  <c r="O910" i="1"/>
  <c r="P910" i="1" s="1"/>
  <c r="O556" i="1"/>
  <c r="P556" i="1" s="1"/>
  <c r="O128" i="1"/>
  <c r="P128" i="1" s="1"/>
  <c r="O668" i="1"/>
  <c r="P668" i="1" s="1"/>
  <c r="O90" i="1"/>
  <c r="P90" i="1" s="1"/>
  <c r="O290" i="1"/>
  <c r="P290" i="1" s="1"/>
  <c r="O129" i="1"/>
  <c r="P129" i="1" s="1"/>
  <c r="O980" i="1"/>
  <c r="P980" i="1" s="1"/>
  <c r="O594" i="1"/>
  <c r="P594" i="1" s="1"/>
  <c r="O91" i="1"/>
  <c r="P91" i="1" s="1"/>
  <c r="O1058" i="1"/>
  <c r="P1058" i="1" s="1"/>
  <c r="O843" i="1"/>
  <c r="P843" i="1" s="1"/>
  <c r="O981" i="1"/>
  <c r="P981" i="1" s="1"/>
  <c r="O595" i="1"/>
  <c r="P595" i="1" s="1"/>
  <c r="O1059" i="1"/>
  <c r="P1059" i="1" s="1"/>
  <c r="O884" i="1"/>
  <c r="P884" i="1" s="1"/>
  <c r="O844" i="1"/>
  <c r="P844" i="1" s="1"/>
  <c r="O943" i="1"/>
  <c r="P943" i="1" s="1"/>
  <c r="O29" i="1"/>
  <c r="O268" i="1"/>
  <c r="P268" i="1" s="1"/>
  <c r="O236" i="1"/>
  <c r="P236" i="1" s="1"/>
  <c r="O756" i="1"/>
  <c r="P756" i="1" s="1"/>
  <c r="O757" i="1"/>
  <c r="P757" i="1" s="1"/>
  <c r="O544" i="1"/>
  <c r="P544" i="1" s="1"/>
  <c r="O758" i="1"/>
  <c r="P758" i="1" s="1"/>
  <c r="O1025" i="1"/>
  <c r="P1025" i="1" s="1"/>
  <c r="O760" i="1"/>
  <c r="P760" i="1" s="1"/>
  <c r="O1244" i="1"/>
  <c r="P1244" i="1" s="1"/>
  <c r="O761" i="1"/>
  <c r="P761" i="1" s="1"/>
  <c r="O762" i="1"/>
  <c r="P762" i="1" s="1"/>
  <c r="O885" i="1"/>
  <c r="P885" i="1" s="1"/>
  <c r="O944" i="1"/>
  <c r="P944" i="1" s="1"/>
  <c r="O508" i="1"/>
  <c r="P508" i="1" s="1"/>
  <c r="O194" i="1"/>
  <c r="P194" i="1" s="1"/>
  <c r="O30" i="1"/>
  <c r="N509" i="1"/>
  <c r="O509" i="1" s="1"/>
  <c r="P509" i="1" s="1"/>
  <c r="N1201" i="1"/>
  <c r="O1201" i="1" s="1"/>
  <c r="P1201" i="1" s="1"/>
  <c r="N799" i="1"/>
  <c r="O799" i="1" s="1"/>
  <c r="P799" i="1" s="1"/>
  <c r="N369" i="1"/>
  <c r="O369" i="1" s="1"/>
  <c r="P369" i="1" s="1"/>
  <c r="N1119" i="1"/>
  <c r="O1119" i="1" s="1"/>
  <c r="P1119" i="1" s="1"/>
  <c r="N557" i="1"/>
  <c r="O557" i="1" s="1"/>
  <c r="P557" i="1" s="1"/>
  <c r="N891" i="1"/>
  <c r="O891" i="1" s="1"/>
  <c r="P891" i="1" s="1"/>
  <c r="N195" i="1"/>
  <c r="O195" i="1" s="1"/>
  <c r="P195" i="1" s="1"/>
  <c r="N670" i="1"/>
  <c r="O670" i="1" s="1"/>
  <c r="P670" i="1" s="1"/>
  <c r="N291" i="1"/>
  <c r="O291" i="1" s="1"/>
  <c r="P291" i="1" s="1"/>
  <c r="N130" i="1"/>
  <c r="O130" i="1" s="1"/>
  <c r="P130" i="1" s="1"/>
  <c r="N925" i="1"/>
  <c r="O925" i="1" s="1"/>
  <c r="P925" i="1" s="1"/>
  <c r="N93" i="1"/>
  <c r="N31" i="1"/>
  <c r="O467" i="1"/>
  <c r="P467" i="1" s="1"/>
  <c r="O468" i="1"/>
  <c r="P468" i="1" s="1"/>
  <c r="O269" i="1"/>
  <c r="P269" i="1" s="1"/>
  <c r="O174" i="1"/>
  <c r="P174" i="1" s="1"/>
  <c r="O271" i="1"/>
  <c r="P271" i="1" s="1"/>
  <c r="O763" i="1"/>
  <c r="P763" i="1" s="1"/>
  <c r="O1171" i="1"/>
  <c r="P1171" i="1" s="1"/>
  <c r="O1245" i="1"/>
  <c r="P1245" i="1" s="1"/>
  <c r="O469" i="1"/>
  <c r="P469" i="1" s="1"/>
  <c r="O470" i="1"/>
  <c r="P470" i="1" s="1"/>
  <c r="O471" i="1"/>
  <c r="P471" i="1" s="1"/>
  <c r="O472" i="1"/>
  <c r="P472" i="1" s="1"/>
  <c r="O473" i="1"/>
  <c r="P473" i="1" s="1"/>
  <c r="O474" i="1"/>
  <c r="P474" i="1" s="1"/>
  <c r="O475" i="1"/>
  <c r="P475" i="1" s="1"/>
  <c r="O237" i="1"/>
  <c r="P237" i="1" s="1"/>
  <c r="O476" i="1"/>
  <c r="P476" i="1" s="1"/>
  <c r="O68" i="1"/>
  <c r="P68" i="1" s="1"/>
  <c r="O69" i="1"/>
  <c r="P69" i="1" s="1"/>
  <c r="O92" i="1"/>
  <c r="O477" i="1"/>
  <c r="P477" i="1" s="1"/>
  <c r="O656" i="1"/>
  <c r="P656" i="1" s="1"/>
  <c r="N596" i="1"/>
  <c r="O596" i="1" s="1"/>
  <c r="P596" i="1" s="1"/>
  <c r="N845" i="1"/>
  <c r="O845" i="1" s="1"/>
  <c r="P845" i="1" s="1"/>
  <c r="N982" i="1"/>
  <c r="O982" i="1" s="1"/>
  <c r="P982" i="1" s="1"/>
  <c r="N946" i="1"/>
  <c r="O946" i="1" s="1"/>
  <c r="P946" i="1" s="1"/>
  <c r="N1060" i="1"/>
  <c r="O1060" i="1" s="1"/>
  <c r="P1060" i="1" s="1"/>
  <c r="O510" i="1"/>
  <c r="P510" i="1" s="1"/>
  <c r="O1202" i="1"/>
  <c r="P1202" i="1" s="1"/>
  <c r="O800" i="1"/>
  <c r="P800" i="1" s="1"/>
  <c r="O370" i="1"/>
  <c r="P370" i="1" s="1"/>
  <c r="O1120" i="1"/>
  <c r="P1120" i="1" s="1"/>
  <c r="O558" i="1"/>
  <c r="P558" i="1" s="1"/>
  <c r="O892" i="1"/>
  <c r="P892" i="1" s="1"/>
  <c r="O196" i="1"/>
  <c r="P196" i="1" s="1"/>
  <c r="O671" i="1"/>
  <c r="P671" i="1" s="1"/>
  <c r="O292" i="1"/>
  <c r="P292" i="1" s="1"/>
  <c r="O131" i="1"/>
  <c r="P131" i="1" s="1"/>
  <c r="O926" i="1"/>
  <c r="P926" i="1" s="1"/>
  <c r="O94" i="1"/>
  <c r="P94" i="1" s="1"/>
  <c r="O32" i="1"/>
  <c r="O478" i="1"/>
  <c r="P478" i="1" s="1"/>
  <c r="O239" i="1"/>
  <c r="P239" i="1" s="1"/>
  <c r="O765" i="1"/>
  <c r="P765" i="1" s="1"/>
  <c r="O767" i="1"/>
  <c r="P767" i="1" s="1"/>
  <c r="O766" i="1"/>
  <c r="P766" i="1" s="1"/>
  <c r="O768" i="1"/>
  <c r="P768" i="1" s="1"/>
  <c r="O240" i="1"/>
  <c r="P240" i="1" s="1"/>
  <c r="O241" i="1"/>
  <c r="P241" i="1" s="1"/>
  <c r="O351" i="1"/>
  <c r="P351" i="1" s="1"/>
  <c r="O597" i="1"/>
  <c r="P597" i="1" s="1"/>
  <c r="O846" i="1"/>
  <c r="P846" i="1" s="1"/>
  <c r="O991" i="1"/>
  <c r="P991" i="1" s="1"/>
  <c r="O960" i="1"/>
  <c r="P960" i="1" s="1"/>
  <c r="O1061" i="1"/>
  <c r="P1061" i="1" s="1"/>
  <c r="O1246" i="1"/>
  <c r="P1246" i="1" s="1"/>
  <c r="O776" i="1"/>
  <c r="P776" i="1" s="1"/>
  <c r="O1172" i="1"/>
  <c r="P1172" i="1" s="1"/>
  <c r="O479" i="1"/>
  <c r="P479" i="1" s="1"/>
  <c r="O657" i="1"/>
  <c r="P657" i="1" s="1"/>
  <c r="O175" i="1"/>
  <c r="P175" i="1" s="1"/>
  <c r="O352" i="1"/>
  <c r="P352" i="1" s="1"/>
  <c r="O1213" i="1"/>
  <c r="P1213" i="1" s="1"/>
  <c r="O801" i="1"/>
  <c r="P801" i="1" s="1"/>
  <c r="O1133" i="1"/>
  <c r="P1133" i="1" s="1"/>
  <c r="O371" i="1"/>
  <c r="P371" i="1" s="1"/>
  <c r="O927" i="1"/>
  <c r="P927" i="1" s="1"/>
  <c r="O560" i="1"/>
  <c r="P560" i="1" s="1"/>
  <c r="O672" i="1"/>
  <c r="P672" i="1" s="1"/>
  <c r="O1247" i="1"/>
  <c r="P1247" i="1" s="1"/>
  <c r="O769" i="1"/>
  <c r="P769" i="1" s="1"/>
  <c r="O480" i="1"/>
  <c r="P480" i="1" s="1"/>
  <c r="O1173" i="1"/>
  <c r="P1173" i="1" s="1"/>
  <c r="O242" i="1"/>
  <c r="P242" i="1" s="1"/>
  <c r="O481" i="1"/>
  <c r="P481" i="1" s="1"/>
  <c r="O295" i="1"/>
  <c r="P295" i="1" s="1"/>
  <c r="O132" i="1"/>
  <c r="P132" i="1" s="1"/>
  <c r="O95" i="1"/>
  <c r="P95" i="1" s="1"/>
  <c r="O1035" i="1"/>
  <c r="P1035" i="1" s="1"/>
  <c r="O598" i="1"/>
  <c r="P598" i="1" s="1"/>
  <c r="O1068" i="1"/>
  <c r="P1068" i="1" s="1"/>
  <c r="O847" i="1"/>
  <c r="P847" i="1" s="1"/>
  <c r="O893" i="1"/>
  <c r="P893" i="1" s="1"/>
  <c r="O961" i="1"/>
  <c r="P961" i="1" s="1"/>
  <c r="O197" i="1"/>
  <c r="P197" i="1" s="1"/>
  <c r="O33" i="1"/>
  <c r="O511" i="1"/>
  <c r="P511" i="1" s="1"/>
  <c r="O1204" i="1"/>
  <c r="P1204" i="1" s="1"/>
  <c r="O802" i="1"/>
  <c r="P802" i="1" s="1"/>
  <c r="O1122" i="1"/>
  <c r="P1122" i="1" s="1"/>
  <c r="O372" i="1"/>
  <c r="P372" i="1" s="1"/>
  <c r="O512" i="1"/>
  <c r="P512" i="1" s="1"/>
  <c r="O928" i="1"/>
  <c r="P928" i="1" s="1"/>
  <c r="O561" i="1"/>
  <c r="P561" i="1" s="1"/>
  <c r="O673" i="1"/>
  <c r="P673" i="1" s="1"/>
  <c r="O296" i="1"/>
  <c r="P296" i="1" s="1"/>
  <c r="O133" i="1"/>
  <c r="P133" i="1" s="1"/>
  <c r="O96" i="1"/>
  <c r="P96" i="1" s="1"/>
  <c r="O1036" i="1"/>
  <c r="P1036" i="1" s="1"/>
  <c r="O600" i="1"/>
  <c r="P600" i="1" s="1"/>
  <c r="O1089" i="1"/>
  <c r="P1089" i="1" s="1"/>
  <c r="O848" i="1"/>
  <c r="P848" i="1" s="1"/>
  <c r="O894" i="1"/>
  <c r="P894" i="1" s="1"/>
  <c r="O962" i="1"/>
  <c r="P962" i="1" s="1"/>
  <c r="O198" i="1"/>
  <c r="P198" i="1" s="1"/>
  <c r="O34" i="1"/>
  <c r="O272" i="1"/>
  <c r="P272" i="1" s="1"/>
  <c r="O770" i="1"/>
  <c r="P770" i="1" s="1"/>
  <c r="O771" i="1"/>
  <c r="P771" i="1" s="1"/>
  <c r="P886" i="1"/>
  <c r="O243" i="1"/>
  <c r="P243" i="1" s="1"/>
  <c r="O247" i="1"/>
  <c r="P247" i="1" s="1"/>
  <c r="O545" i="1"/>
  <c r="P545" i="1" s="1"/>
  <c r="O482" i="1"/>
  <c r="P482" i="1" s="1"/>
  <c r="O772" i="1"/>
  <c r="P772" i="1" s="1"/>
  <c r="O1090" i="1"/>
  <c r="P1090" i="1" s="1"/>
  <c r="N506" i="1"/>
  <c r="O506" i="1" s="1"/>
  <c r="P506" i="1" s="1"/>
  <c r="N803" i="1"/>
  <c r="O803" i="1" s="1"/>
  <c r="P803" i="1" s="1"/>
  <c r="N1249" i="1"/>
  <c r="O1249" i="1" s="1"/>
  <c r="P1249" i="1" s="1"/>
  <c r="N284" i="1"/>
  <c r="O284" i="1" s="1"/>
  <c r="P284" i="1" s="1"/>
  <c r="N559" i="1"/>
  <c r="O559" i="1" s="1"/>
  <c r="P559" i="1" s="1"/>
  <c r="N86" i="1"/>
  <c r="O86" i="1" s="1"/>
  <c r="P86" i="1" s="1"/>
  <c r="N599" i="1"/>
  <c r="O599" i="1" s="1"/>
  <c r="P599" i="1" s="1"/>
  <c r="N190" i="1"/>
  <c r="O190" i="1" s="1"/>
  <c r="P190" i="1" s="1"/>
  <c r="N1038" i="1"/>
  <c r="O1038" i="1" s="1"/>
  <c r="P1038" i="1" s="1"/>
  <c r="N365" i="1"/>
  <c r="O365" i="1" s="1"/>
  <c r="P365" i="1" s="1"/>
  <c r="N1183" i="1"/>
  <c r="O1183" i="1" s="1"/>
  <c r="P1183" i="1" s="1"/>
  <c r="N674" i="1"/>
  <c r="O674" i="1" s="1"/>
  <c r="P674" i="1" s="1"/>
  <c r="O244" i="1"/>
  <c r="P244" i="1" s="1"/>
  <c r="O1026" i="1"/>
  <c r="P1026" i="1" s="1"/>
  <c r="O483" i="1"/>
  <c r="P483" i="1" s="1"/>
  <c r="N1250" i="1"/>
  <c r="O1250" i="1" s="1"/>
  <c r="P1250" i="1" s="1"/>
  <c r="N887" i="1"/>
  <c r="O887" i="1" s="1"/>
  <c r="P887" i="1" s="1"/>
  <c r="N780" i="1"/>
  <c r="O780" i="1" s="1"/>
  <c r="P780" i="1" s="1"/>
  <c r="N920" i="1"/>
  <c r="O920" i="1" s="1"/>
  <c r="P920" i="1" s="1"/>
  <c r="N484" i="1"/>
  <c r="O484" i="1" s="1"/>
  <c r="P484" i="1" s="1"/>
  <c r="N353" i="1"/>
  <c r="O353" i="1" s="1"/>
  <c r="P353" i="1" s="1"/>
  <c r="N1174" i="1"/>
  <c r="O1174" i="1" s="1"/>
  <c r="P1174" i="1" s="1"/>
  <c r="N546" i="1"/>
  <c r="O546" i="1" s="1"/>
  <c r="P546" i="1" s="1"/>
  <c r="N176" i="1"/>
  <c r="O176" i="1" s="1"/>
  <c r="P176" i="1" s="1"/>
  <c r="N658" i="1"/>
  <c r="O658" i="1" s="1"/>
  <c r="P658" i="1" s="1"/>
  <c r="N265" i="1"/>
  <c r="O265" i="1" s="1"/>
  <c r="P265" i="1" s="1"/>
  <c r="N118" i="1"/>
  <c r="O118" i="1" s="1"/>
  <c r="P118" i="1" s="1"/>
  <c r="N71" i="1"/>
  <c r="O71" i="1" s="1"/>
  <c r="P71" i="1" s="1"/>
  <c r="N14" i="1"/>
  <c r="N587" i="1"/>
  <c r="O587" i="1" s="1"/>
  <c r="P587" i="1" s="1"/>
  <c r="N839" i="1"/>
  <c r="O839" i="1" s="1"/>
  <c r="P839" i="1" s="1"/>
  <c r="N1027" i="1"/>
  <c r="O1027" i="1" s="1"/>
  <c r="P1027" i="1" s="1"/>
  <c r="N955" i="1"/>
  <c r="O955" i="1" s="1"/>
  <c r="P955" i="1" s="1"/>
  <c r="N1091" i="1"/>
  <c r="O1091" i="1" s="1"/>
  <c r="P1091" i="1" s="1"/>
  <c r="O485" i="1"/>
  <c r="P485" i="1" s="1"/>
  <c r="O486" i="1"/>
  <c r="P486" i="1" s="1"/>
  <c r="O487" i="1"/>
  <c r="P487" i="1" s="1"/>
  <c r="O488" i="1"/>
  <c r="P488" i="1" s="1"/>
  <c r="O489" i="1"/>
  <c r="P489" i="1" s="1"/>
  <c r="O490" i="1"/>
  <c r="P490" i="1" s="1"/>
  <c r="O1028" i="1"/>
  <c r="P1028" i="1" s="1"/>
  <c r="O72" i="1"/>
  <c r="P72" i="1" s="1"/>
  <c r="O491" i="1"/>
  <c r="P491" i="1" s="1"/>
  <c r="O492" i="1"/>
  <c r="P492" i="1" s="1"/>
  <c r="O773" i="1"/>
  <c r="P773" i="1" s="1"/>
  <c r="O774" i="1"/>
  <c r="P774" i="1" s="1"/>
  <c r="O1175" i="1"/>
  <c r="P1175" i="1" s="1"/>
  <c r="O493" i="1"/>
  <c r="P493" i="1" s="1"/>
  <c r="O494" i="1"/>
  <c r="P494" i="1" s="1"/>
  <c r="O1251" i="1"/>
  <c r="P1251" i="1" s="1"/>
  <c r="O1248" i="1"/>
  <c r="P1248" i="1" s="1"/>
  <c r="O806" i="1"/>
  <c r="P806" i="1" s="1"/>
  <c r="O298" i="1"/>
  <c r="P298" i="1" s="1"/>
  <c r="O515" i="1"/>
  <c r="P515" i="1" s="1"/>
  <c r="O375" i="1"/>
  <c r="P375" i="1" s="1"/>
  <c r="O1184" i="1"/>
  <c r="P1184" i="1" s="1"/>
  <c r="O562" i="1"/>
  <c r="P562" i="1" s="1"/>
  <c r="O929" i="1"/>
  <c r="P929" i="1" s="1"/>
  <c r="O897" i="1"/>
  <c r="P897" i="1" s="1"/>
  <c r="O677" i="1"/>
  <c r="P677" i="1" s="1"/>
  <c r="O134" i="1"/>
  <c r="P134" i="1" s="1"/>
  <c r="O1040" i="1"/>
  <c r="P1040" i="1" s="1"/>
  <c r="O99" i="1"/>
  <c r="P99" i="1" s="1"/>
  <c r="O1101" i="1"/>
  <c r="P1101" i="1" s="1"/>
  <c r="O601" i="1"/>
  <c r="P601" i="1" s="1"/>
  <c r="O851" i="1"/>
  <c r="P851" i="1" s="1"/>
  <c r="O35" i="1"/>
  <c r="O963" i="1"/>
  <c r="P963" i="1" s="1"/>
  <c r="O201" i="1"/>
  <c r="P201" i="1" s="1"/>
  <c r="N495" i="1"/>
  <c r="O495" i="1" s="1"/>
  <c r="P495" i="1" s="1"/>
  <c r="N1252" i="1"/>
  <c r="O1252" i="1" s="1"/>
  <c r="P1252" i="1" s="1"/>
  <c r="N783" i="1"/>
  <c r="O783" i="1" s="1"/>
  <c r="P783" i="1" s="1"/>
  <c r="N1176" i="1"/>
  <c r="O1176" i="1" s="1"/>
  <c r="P1176" i="1" s="1"/>
  <c r="N354" i="1"/>
  <c r="O354" i="1" s="1"/>
  <c r="P354" i="1" s="1"/>
  <c r="N921" i="1"/>
  <c r="O921" i="1" s="1"/>
  <c r="P921" i="1" s="1"/>
  <c r="N547" i="1"/>
  <c r="O547" i="1" s="1"/>
  <c r="P547" i="1" s="1"/>
  <c r="N659" i="1"/>
  <c r="O659" i="1" s="1"/>
  <c r="P659" i="1" s="1"/>
  <c r="N266" i="1"/>
  <c r="O266" i="1" s="1"/>
  <c r="P266" i="1" s="1"/>
  <c r="N119" i="1"/>
  <c r="O119" i="1" s="1"/>
  <c r="P119" i="1" s="1"/>
  <c r="N73" i="1"/>
  <c r="O73" i="1" s="1"/>
  <c r="P73" i="1" s="1"/>
  <c r="N1029" i="1"/>
  <c r="O1029" i="1" s="1"/>
  <c r="P1029" i="1" s="1"/>
  <c r="N588" i="1"/>
  <c r="O588" i="1" s="1"/>
  <c r="P588" i="1" s="1"/>
  <c r="N1092" i="1"/>
  <c r="O1092" i="1" s="1"/>
  <c r="P1092" i="1" s="1"/>
  <c r="N840" i="1"/>
  <c r="O840" i="1" s="1"/>
  <c r="P840" i="1" s="1"/>
  <c r="N888" i="1"/>
  <c r="O888" i="1" s="1"/>
  <c r="P888" i="1" s="1"/>
  <c r="N956" i="1"/>
  <c r="O956" i="1" s="1"/>
  <c r="P956" i="1" s="1"/>
  <c r="N177" i="1"/>
  <c r="O177" i="1" s="1"/>
  <c r="P177" i="1" s="1"/>
  <c r="N15" i="1"/>
  <c r="O496" i="1"/>
  <c r="P496" i="1" s="1"/>
  <c r="O1253" i="1"/>
  <c r="P1253" i="1" s="1"/>
  <c r="O784" i="1"/>
  <c r="P784" i="1" s="1"/>
  <c r="O355" i="1"/>
  <c r="P355" i="1" s="1"/>
  <c r="O1177" i="1"/>
  <c r="P1177" i="1" s="1"/>
  <c r="O548" i="1"/>
  <c r="P548" i="1" s="1"/>
  <c r="O889" i="1"/>
  <c r="P889" i="1" s="1"/>
  <c r="O178" i="1"/>
  <c r="P178" i="1" s="1"/>
  <c r="O660" i="1"/>
  <c r="P660" i="1" s="1"/>
  <c r="O267" i="1"/>
  <c r="P267" i="1" s="1"/>
  <c r="O120" i="1"/>
  <c r="P120" i="1" s="1"/>
  <c r="O922" i="1"/>
  <c r="P922" i="1" s="1"/>
  <c r="O74" i="1"/>
  <c r="P74" i="1" s="1"/>
  <c r="O16" i="1"/>
  <c r="O589" i="1"/>
  <c r="P589" i="1" s="1"/>
  <c r="O841" i="1"/>
  <c r="P841" i="1" s="1"/>
  <c r="O1030" i="1"/>
  <c r="P1030" i="1" s="1"/>
  <c r="O957" i="1"/>
  <c r="P957" i="1" s="1"/>
  <c r="O1093" i="1"/>
  <c r="P1093" i="1" s="1"/>
  <c r="O1178" i="1"/>
  <c r="P1178" i="1" s="1"/>
  <c r="O775" i="1"/>
  <c r="P775" i="1" s="1"/>
  <c r="O778" i="1"/>
  <c r="P778" i="1" s="1"/>
  <c r="O779" i="1"/>
  <c r="P779" i="1" s="1"/>
  <c r="O273" i="1"/>
  <c r="P273" i="1" s="1"/>
  <c r="O782" i="1"/>
  <c r="P782" i="1" s="1"/>
  <c r="O781" i="1"/>
  <c r="P781" i="1" s="1"/>
  <c r="O785" i="1"/>
  <c r="P785" i="1" s="1"/>
  <c r="O786" i="1"/>
  <c r="P786" i="1" s="1"/>
  <c r="O274" i="1"/>
  <c r="P274" i="1" s="1"/>
  <c r="N1099" i="1"/>
  <c r="O1099" i="1" s="1"/>
  <c r="P1099" i="1" s="1"/>
  <c r="N792" i="1"/>
  <c r="O792" i="1" s="1"/>
  <c r="P792" i="1" s="1"/>
  <c r="N1254" i="1"/>
  <c r="O1254" i="1" s="1"/>
  <c r="P1254" i="1" s="1"/>
  <c r="N270" i="1"/>
  <c r="O270" i="1" s="1"/>
  <c r="P270" i="1" s="1"/>
  <c r="N549" i="1"/>
  <c r="O549" i="1" s="1"/>
  <c r="P549" i="1" s="1"/>
  <c r="N75" i="1"/>
  <c r="O75" i="1" s="1"/>
  <c r="P75" i="1" s="1"/>
  <c r="N590" i="1"/>
  <c r="O590" i="1" s="1"/>
  <c r="P590" i="1" s="1"/>
  <c r="N179" i="1"/>
  <c r="O179" i="1" s="1"/>
  <c r="P179" i="1" s="1"/>
  <c r="N1031" i="1"/>
  <c r="O1031" i="1" s="1"/>
  <c r="P1031" i="1" s="1"/>
  <c r="N497" i="1"/>
  <c r="O497" i="1" s="1"/>
  <c r="P497" i="1" s="1"/>
  <c r="N356" i="1"/>
  <c r="O356" i="1" s="1"/>
  <c r="P356" i="1" s="1"/>
  <c r="N661" i="1"/>
  <c r="O661" i="1" s="1"/>
  <c r="P661" i="1" s="1"/>
  <c r="N1094" i="1"/>
  <c r="O1094" i="1" s="1"/>
  <c r="P1094" i="1" s="1"/>
  <c r="O275" i="1"/>
  <c r="P275" i="1" s="1"/>
  <c r="O276" i="1"/>
  <c r="P276" i="1" s="1"/>
  <c r="O285" i="1"/>
  <c r="P285" i="1" s="1"/>
  <c r="O245" i="1"/>
  <c r="P245" i="1" s="1"/>
  <c r="O286" i="1"/>
  <c r="P286" i="1" s="1"/>
  <c r="O297" i="1"/>
  <c r="P297" i="1" s="1"/>
  <c r="O385" i="1"/>
  <c r="P385" i="1" s="1"/>
  <c r="O384" i="1"/>
  <c r="P384" i="1" s="1"/>
  <c r="O383" i="1"/>
  <c r="P383" i="1" s="1"/>
  <c r="O669" i="1"/>
  <c r="P669" i="1" s="1"/>
  <c r="O787" i="1"/>
  <c r="P787" i="1" s="1"/>
  <c r="O1047" i="1"/>
  <c r="P1047" i="1" s="1"/>
  <c r="N294" i="1"/>
  <c r="O294" i="1" s="1"/>
  <c r="P294" i="1" s="1"/>
  <c r="N788" i="1"/>
  <c r="O788" i="1" s="1"/>
  <c r="P788" i="1" s="1"/>
  <c r="N789" i="1"/>
  <c r="O789" i="1" s="1"/>
  <c r="P789" i="1" s="1"/>
  <c r="O790" i="1"/>
  <c r="P790" i="1" s="1"/>
  <c r="N937" i="1"/>
  <c r="O937" i="1" s="1"/>
  <c r="P937" i="1" s="1"/>
  <c r="N938" i="1"/>
  <c r="O938" i="1" s="1"/>
  <c r="P938" i="1" s="1"/>
  <c r="N299" i="1"/>
  <c r="O299" i="1" s="1"/>
  <c r="P299" i="1" s="1"/>
  <c r="O248" i="1"/>
  <c r="P248" i="1" s="1"/>
  <c r="O287" i="1"/>
  <c r="P287" i="1" s="1"/>
  <c r="N499" i="1"/>
  <c r="O499" i="1" s="1"/>
  <c r="P499" i="1" s="1"/>
  <c r="N1256" i="1"/>
  <c r="O1256" i="1" s="1"/>
  <c r="P1256" i="1" s="1"/>
  <c r="N358" i="1"/>
  <c r="O358" i="1" s="1"/>
  <c r="P358" i="1" s="1"/>
  <c r="N663" i="1"/>
  <c r="O663" i="1" s="1"/>
  <c r="P663" i="1" s="1"/>
  <c r="N1180" i="1"/>
  <c r="O1180" i="1" s="1"/>
  <c r="P1180" i="1" s="1"/>
  <c r="N795" i="1"/>
  <c r="O795" i="1" s="1"/>
  <c r="P795" i="1" s="1"/>
  <c r="N890" i="1"/>
  <c r="O890" i="1" s="1"/>
  <c r="P890" i="1" s="1"/>
  <c r="N181" i="1"/>
  <c r="O181" i="1" s="1"/>
  <c r="P181" i="1" s="1"/>
  <c r="N1096" i="1"/>
  <c r="O1096" i="1" s="1"/>
  <c r="P1096" i="1" s="1"/>
  <c r="N76" i="1"/>
  <c r="O76" i="1" s="1"/>
  <c r="P76" i="1" s="1"/>
  <c r="N1033" i="1"/>
  <c r="O1033" i="1" s="1"/>
  <c r="P1033" i="1" s="1"/>
  <c r="N842" i="1"/>
  <c r="O842" i="1" s="1"/>
  <c r="P842" i="1" s="1"/>
  <c r="O293" i="1"/>
  <c r="P293" i="1" s="1"/>
  <c r="O121" i="1" l="1"/>
  <c r="O93" i="1"/>
  <c r="P92" i="1"/>
  <c r="P80" i="1"/>
  <c r="P32" i="1"/>
  <c r="P39" i="1"/>
  <c r="O13" i="1"/>
  <c r="P44" i="1"/>
  <c r="P16" i="1"/>
  <c r="P34" i="1"/>
  <c r="P33" i="1"/>
  <c r="P30" i="1"/>
  <c r="P29" i="1"/>
  <c r="O11" i="1"/>
  <c r="O45" i="1"/>
  <c r="P41" i="1"/>
  <c r="O40" i="1"/>
  <c r="O36" i="1"/>
  <c r="O28" i="1"/>
  <c r="O8" i="1"/>
  <c r="O15" i="1"/>
  <c r="O31" i="1"/>
  <c r="O37" i="1"/>
  <c r="P35" i="1"/>
  <c r="O27" i="1"/>
  <c r="O9" i="1"/>
  <c r="O46" i="1"/>
  <c r="O43" i="1"/>
  <c r="P42" i="1"/>
  <c r="P38" i="1"/>
  <c r="O67" i="1"/>
  <c r="P67" i="1" s="1"/>
  <c r="O104" i="1"/>
  <c r="P1186" i="1"/>
  <c r="P12" i="1"/>
  <c r="O1102" i="1"/>
  <c r="O1041" i="1"/>
  <c r="O14" i="1"/>
  <c r="O101" i="1"/>
  <c r="O1185" i="1"/>
  <c r="O230" i="1"/>
  <c r="P282" i="1"/>
  <c r="P254" i="1"/>
  <c r="P257" i="1"/>
  <c r="P228" i="1"/>
  <c r="P255" i="1"/>
  <c r="P227" i="1"/>
  <c r="P256" i="1"/>
  <c r="P26" i="1"/>
  <c r="O7" i="1"/>
  <c r="O6" i="1"/>
  <c r="O5" i="1"/>
  <c r="P25" i="1"/>
  <c r="P24" i="1"/>
  <c r="P23" i="1"/>
  <c r="P4" i="1"/>
  <c r="O22" i="1"/>
  <c r="O21" i="1"/>
  <c r="P20" i="1"/>
  <c r="O3" i="1"/>
  <c r="P19" i="1"/>
  <c r="O2" i="1"/>
  <c r="O10" i="1"/>
  <c r="P121" i="1" l="1"/>
  <c r="P93" i="1"/>
  <c r="P31" i="1"/>
  <c r="P46" i="1"/>
  <c r="P27" i="1"/>
  <c r="P36" i="1"/>
  <c r="P11" i="1"/>
  <c r="P37" i="1"/>
  <c r="P15" i="1"/>
  <c r="P28" i="1"/>
  <c r="P8" i="1"/>
  <c r="P10" i="1"/>
  <c r="P43" i="1"/>
  <c r="P9" i="1"/>
  <c r="P40" i="1"/>
  <c r="P45" i="1"/>
  <c r="P13" i="1"/>
  <c r="P104" i="1"/>
  <c r="P14" i="1"/>
  <c r="P1185" i="1"/>
  <c r="P1102" i="1"/>
  <c r="P101" i="1"/>
  <c r="P1041" i="1"/>
  <c r="P230" i="1"/>
  <c r="P7" i="1"/>
  <c r="P6" i="1"/>
  <c r="P5" i="1"/>
  <c r="P22" i="1"/>
  <c r="P21" i="1"/>
  <c r="P3" i="1"/>
  <c r="P2" i="1"/>
  <c r="D40" i="25" l="1"/>
  <c r="D71" i="25"/>
  <c r="D88" i="25"/>
  <c r="D96" i="25"/>
  <c r="D87" i="25"/>
  <c r="D82" i="25"/>
  <c r="D81" i="25"/>
  <c r="D70" i="25"/>
  <c r="D68" i="25"/>
  <c r="D84" i="25"/>
  <c r="D67" i="25"/>
  <c r="D63" i="25"/>
  <c r="D86" i="25"/>
  <c r="D43" i="25"/>
  <c r="D56" i="25"/>
  <c r="D32" i="25"/>
  <c r="O984" i="1" l="1"/>
  <c r="O388" i="1"/>
  <c r="O983" i="1"/>
  <c r="O857" i="1"/>
  <c r="P857" i="1" s="1"/>
  <c r="P983" i="1" l="1"/>
  <c r="P984" i="1"/>
  <c r="P388" i="1"/>
  <c r="P195" i="28"/>
  <c r="Q195" i="28" s="1"/>
  <c r="N195" i="28"/>
  <c r="O40" i="28" s="1"/>
  <c r="L195" i="28"/>
  <c r="M178" i="28" s="1"/>
  <c r="H195" i="28"/>
  <c r="I180" i="28" s="1"/>
  <c r="F195" i="28"/>
  <c r="G195" i="28" s="1"/>
  <c r="D195" i="28"/>
  <c r="E96" i="28" s="1"/>
  <c r="B195" i="28"/>
  <c r="C195" i="28" s="1"/>
  <c r="I193" i="28"/>
  <c r="Q188" i="28"/>
  <c r="Q185" i="28"/>
  <c r="G184" i="28"/>
  <c r="Q179" i="28"/>
  <c r="Q177" i="28"/>
  <c r="I174" i="28"/>
  <c r="Q172" i="28"/>
  <c r="G169" i="28"/>
  <c r="I168" i="28"/>
  <c r="G168" i="28"/>
  <c r="I164" i="28"/>
  <c r="G161" i="28"/>
  <c r="E161" i="28"/>
  <c r="G159" i="28"/>
  <c r="Q156" i="28"/>
  <c r="Q155" i="28"/>
  <c r="G153" i="28"/>
  <c r="Q152" i="28"/>
  <c r="I152" i="28"/>
  <c r="G151" i="28"/>
  <c r="Q149" i="28"/>
  <c r="Q147" i="28"/>
  <c r="Q145" i="28"/>
  <c r="Q143" i="28"/>
  <c r="Q141" i="28"/>
  <c r="O141" i="28"/>
  <c r="Q138" i="28"/>
  <c r="Q135" i="28"/>
  <c r="M133" i="28"/>
  <c r="I133" i="28"/>
  <c r="G131" i="28"/>
  <c r="Q129" i="28"/>
  <c r="G129" i="28"/>
  <c r="Q127" i="28"/>
  <c r="G127" i="28"/>
  <c r="I123" i="28"/>
  <c r="G122" i="28"/>
  <c r="Q121" i="28"/>
  <c r="G120" i="28"/>
  <c r="Q119" i="28"/>
  <c r="I119" i="28"/>
  <c r="I117" i="28"/>
  <c r="G117" i="28"/>
  <c r="Q116" i="28"/>
  <c r="I115" i="28"/>
  <c r="G115" i="28"/>
  <c r="G114" i="28"/>
  <c r="Q113" i="28"/>
  <c r="I113" i="28"/>
  <c r="Q111" i="28"/>
  <c r="I109" i="28"/>
  <c r="G109" i="28"/>
  <c r="I107" i="28"/>
  <c r="G107" i="28"/>
  <c r="Q105" i="28"/>
  <c r="I105" i="28"/>
  <c r="G104" i="28"/>
  <c r="I103" i="28"/>
  <c r="I101" i="28"/>
  <c r="G101" i="28"/>
  <c r="I99" i="28"/>
  <c r="Q98" i="28"/>
  <c r="G98" i="28"/>
  <c r="I97" i="28"/>
  <c r="G96" i="28"/>
  <c r="I95" i="28"/>
  <c r="E94" i="28"/>
  <c r="I93" i="28"/>
  <c r="Q92" i="28"/>
  <c r="I91" i="28"/>
  <c r="Q90" i="28"/>
  <c r="G90" i="28"/>
  <c r="I89" i="28"/>
  <c r="Q87" i="28"/>
  <c r="I87" i="28"/>
  <c r="I85" i="28"/>
  <c r="Q84" i="28"/>
  <c r="O84" i="28"/>
  <c r="I83" i="28"/>
  <c r="G83" i="28"/>
  <c r="Q81" i="28"/>
  <c r="I81" i="28"/>
  <c r="Q79" i="28"/>
  <c r="I79" i="28"/>
  <c r="I77" i="28"/>
  <c r="G77" i="28"/>
  <c r="I75" i="28"/>
  <c r="G75" i="28"/>
  <c r="Q73" i="28"/>
  <c r="I73" i="28"/>
  <c r="G72" i="28"/>
  <c r="I71" i="28"/>
  <c r="I69" i="28"/>
  <c r="G69" i="28"/>
  <c r="I67" i="28"/>
  <c r="Q66" i="28"/>
  <c r="G66" i="28"/>
  <c r="I65" i="28"/>
  <c r="G64" i="28"/>
  <c r="I63" i="28"/>
  <c r="E62" i="28"/>
  <c r="I61" i="28"/>
  <c r="Q60" i="28"/>
  <c r="I59" i="28"/>
  <c r="Q58" i="28"/>
  <c r="G58" i="28"/>
  <c r="I57" i="28"/>
  <c r="E57" i="28"/>
  <c r="Q55" i="28"/>
  <c r="I55" i="28"/>
  <c r="I53" i="28"/>
  <c r="Q52" i="28"/>
  <c r="O52" i="28"/>
  <c r="I52" i="28"/>
  <c r="Q51" i="28"/>
  <c r="I51" i="28"/>
  <c r="I50" i="28"/>
  <c r="I49" i="28"/>
  <c r="Q48" i="28"/>
  <c r="O48" i="28"/>
  <c r="I48" i="28"/>
  <c r="Q47" i="28"/>
  <c r="I47" i="28"/>
  <c r="I46" i="28"/>
  <c r="I45" i="28"/>
  <c r="Q44" i="28"/>
  <c r="O44" i="28"/>
  <c r="I44" i="28"/>
  <c r="Q43" i="28"/>
  <c r="I43" i="28"/>
  <c r="I42" i="28"/>
  <c r="I41" i="28"/>
  <c r="Q40" i="28"/>
  <c r="I40" i="28"/>
  <c r="Q39" i="28"/>
  <c r="I39" i="28"/>
  <c r="I38" i="28"/>
  <c r="I37" i="28"/>
  <c r="Q36" i="28"/>
  <c r="O36" i="28"/>
  <c r="I36" i="28"/>
  <c r="Q35" i="28"/>
  <c r="I35" i="28"/>
  <c r="I34" i="28"/>
  <c r="I33" i="28"/>
  <c r="Q32" i="28"/>
  <c r="O32" i="28"/>
  <c r="I32" i="28"/>
  <c r="Q31" i="28"/>
  <c r="I31" i="28"/>
  <c r="I30" i="28"/>
  <c r="I29" i="28"/>
  <c r="Q28" i="28"/>
  <c r="O28" i="28"/>
  <c r="I28" i="28"/>
  <c r="Q27" i="28"/>
  <c r="I27" i="28"/>
  <c r="I26" i="28"/>
  <c r="I25" i="28"/>
  <c r="Q24" i="28"/>
  <c r="O24" i="28"/>
  <c r="I24" i="28"/>
  <c r="Q23" i="28"/>
  <c r="I23" i="28"/>
  <c r="I22" i="28"/>
  <c r="I21" i="28"/>
  <c r="Q20" i="28"/>
  <c r="O20" i="28"/>
  <c r="I20" i="28"/>
  <c r="Q19" i="28"/>
  <c r="I19" i="28"/>
  <c r="I18" i="28"/>
  <c r="I17" i="28"/>
  <c r="Q16" i="28"/>
  <c r="O16" i="28"/>
  <c r="I16" i="28"/>
  <c r="Q15" i="28"/>
  <c r="I15" i="28"/>
  <c r="I14" i="28"/>
  <c r="I13" i="28"/>
  <c r="Q12" i="28"/>
  <c r="O12" i="28"/>
  <c r="I12" i="28"/>
  <c r="Q11" i="28"/>
  <c r="I11" i="28"/>
  <c r="I10" i="28"/>
  <c r="I9" i="28"/>
  <c r="Q8" i="28"/>
  <c r="O8" i="28"/>
  <c r="I8" i="28"/>
  <c r="Q7" i="28"/>
  <c r="I7" i="28"/>
  <c r="I6" i="28"/>
  <c r="I5" i="28"/>
  <c r="Q4" i="28"/>
  <c r="O4" i="28"/>
  <c r="I4" i="28"/>
  <c r="N26" i="25"/>
  <c r="N69" i="25"/>
  <c r="O69" i="25" s="1"/>
  <c r="P69" i="25" s="1"/>
  <c r="N34" i="25"/>
  <c r="O34" i="25" s="1"/>
  <c r="P34" i="25" s="1"/>
  <c r="N75" i="25"/>
  <c r="O75" i="25" s="1"/>
  <c r="P75" i="25" s="1"/>
  <c r="N83" i="25"/>
  <c r="O83" i="25" s="1"/>
  <c r="P83" i="25" s="1"/>
  <c r="N72" i="25"/>
  <c r="O72" i="25" s="1"/>
  <c r="P72" i="25" s="1"/>
  <c r="N80" i="25"/>
  <c r="O80" i="25" s="1"/>
  <c r="P80" i="25" s="1"/>
  <c r="N90" i="25"/>
  <c r="O90" i="25" s="1"/>
  <c r="P90" i="25" s="1"/>
  <c r="N85" i="25"/>
  <c r="O85" i="25" s="1"/>
  <c r="P85" i="25" s="1"/>
  <c r="N74" i="25"/>
  <c r="O74" i="25" s="1"/>
  <c r="P74" i="25" s="1"/>
  <c r="N92" i="25"/>
  <c r="O92" i="25" s="1"/>
  <c r="P92" i="25" s="1"/>
  <c r="N73" i="25"/>
  <c r="O73" i="25" s="1"/>
  <c r="P73" i="25" s="1"/>
  <c r="N78" i="25"/>
  <c r="O78" i="25" s="1"/>
  <c r="P78" i="25" s="1"/>
  <c r="N91" i="25"/>
  <c r="O91" i="25" s="1"/>
  <c r="P91" i="25" s="1"/>
  <c r="N77" i="25"/>
  <c r="O77" i="25" s="1"/>
  <c r="P77" i="25" s="1"/>
  <c r="N76" i="25"/>
  <c r="O76" i="25" s="1"/>
  <c r="P76" i="25" s="1"/>
  <c r="N89" i="25"/>
  <c r="O89" i="25" s="1"/>
  <c r="P89" i="25" s="1"/>
  <c r="N98" i="25"/>
  <c r="S1258" i="1"/>
  <c r="Q1258" i="1"/>
  <c r="G170" i="28" l="1"/>
  <c r="I148" i="28"/>
  <c r="I166" i="28"/>
  <c r="D516" i="1"/>
  <c r="D548" i="1"/>
  <c r="D542" i="1"/>
  <c r="D557" i="1"/>
  <c r="D546" i="1"/>
  <c r="D522" i="1"/>
  <c r="D531" i="1"/>
  <c r="D519" i="1"/>
  <c r="D534" i="1"/>
  <c r="D523" i="1"/>
  <c r="D558" i="1"/>
  <c r="I131" i="28"/>
  <c r="I138" i="28"/>
  <c r="I172" i="28"/>
  <c r="I192" i="28"/>
  <c r="D1221" i="1"/>
  <c r="D1185" i="1"/>
  <c r="D1223" i="1"/>
  <c r="D1207" i="1"/>
  <c r="D1209" i="1"/>
  <c r="D1192" i="1"/>
  <c r="D602" i="1"/>
  <c r="D605" i="1"/>
  <c r="D609" i="1"/>
  <c r="D670" i="1"/>
  <c r="D660" i="1"/>
  <c r="D671" i="1"/>
  <c r="D658" i="1"/>
  <c r="D632" i="1"/>
  <c r="D612" i="1"/>
  <c r="D655" i="1"/>
  <c r="D635" i="1"/>
  <c r="D1000" i="1"/>
  <c r="D985" i="1"/>
  <c r="D968" i="1"/>
  <c r="D964" i="1"/>
  <c r="D1002" i="1"/>
  <c r="D1024" i="1"/>
  <c r="D991" i="1"/>
  <c r="D1027" i="1"/>
  <c r="D972" i="1"/>
  <c r="D982" i="1"/>
  <c r="D1030" i="1"/>
  <c r="O26" i="25"/>
  <c r="E195" i="28"/>
  <c r="E187" i="28"/>
  <c r="E134" i="28"/>
  <c r="E132" i="28"/>
  <c r="E130" i="28"/>
  <c r="E116" i="28"/>
  <c r="E110" i="28"/>
  <c r="E105" i="28"/>
  <c r="E99" i="28"/>
  <c r="E80" i="28"/>
  <c r="E78" i="28"/>
  <c r="E73" i="28"/>
  <c r="E67" i="28"/>
  <c r="E51" i="28"/>
  <c r="E47" i="28"/>
  <c r="E43" i="28"/>
  <c r="E39" i="28"/>
  <c r="E35" i="28"/>
  <c r="E31" i="28"/>
  <c r="E27" i="28"/>
  <c r="E23" i="28"/>
  <c r="E19" i="28"/>
  <c r="E15" i="28"/>
  <c r="E11" i="28"/>
  <c r="E7" i="28"/>
  <c r="E12" i="28"/>
  <c r="E177" i="28"/>
  <c r="E126" i="28"/>
  <c r="E115" i="28"/>
  <c r="E111" i="28"/>
  <c r="E109" i="28"/>
  <c r="E90" i="28"/>
  <c r="E84" i="28"/>
  <c r="E79" i="28"/>
  <c r="E77" i="28"/>
  <c r="E58" i="28"/>
  <c r="E193" i="28"/>
  <c r="E191" i="28"/>
  <c r="E124" i="28"/>
  <c r="E112" i="28"/>
  <c r="E106" i="28"/>
  <c r="E100" i="28"/>
  <c r="E95" i="28"/>
  <c r="E93" i="28"/>
  <c r="E74" i="28"/>
  <c r="E68" i="28"/>
  <c r="E63" i="28"/>
  <c r="E61" i="28"/>
  <c r="E52" i="28"/>
  <c r="E48" i="28"/>
  <c r="E44" i="28"/>
  <c r="E40" i="28"/>
  <c r="E36" i="28"/>
  <c r="E32" i="28"/>
  <c r="E28" i="28"/>
  <c r="E24" i="28"/>
  <c r="E20" i="28"/>
  <c r="E16" i="28"/>
  <c r="E8" i="28"/>
  <c r="E4" i="28"/>
  <c r="O187" i="28"/>
  <c r="O146" i="28"/>
  <c r="O122" i="28"/>
  <c r="O120" i="28"/>
  <c r="O100" i="28"/>
  <c r="O68" i="28"/>
  <c r="O14" i="28"/>
  <c r="O143" i="28"/>
  <c r="O128" i="28"/>
  <c r="O116" i="28"/>
  <c r="O88" i="28"/>
  <c r="O56" i="28"/>
  <c r="O136" i="28"/>
  <c r="O104" i="28"/>
  <c r="O72" i="28"/>
  <c r="O50" i="28"/>
  <c r="O46" i="28"/>
  <c r="O42" i="28"/>
  <c r="O38" i="28"/>
  <c r="O34" i="28"/>
  <c r="O30" i="28"/>
  <c r="O26" i="28"/>
  <c r="O22" i="28"/>
  <c r="O18" i="28"/>
  <c r="O10" i="28"/>
  <c r="O6" i="28"/>
  <c r="E64" i="28"/>
  <c r="E83" i="28"/>
  <c r="E89" i="28"/>
  <c r="E159" i="28"/>
  <c r="E163" i="28"/>
  <c r="D1201" i="1"/>
  <c r="D1238" i="1"/>
  <c r="D1253" i="1"/>
  <c r="D1250" i="1"/>
  <c r="D1202" i="1"/>
  <c r="Q63" i="28"/>
  <c r="Q65" i="28"/>
  <c r="G67" i="28"/>
  <c r="Q68" i="28"/>
  <c r="Q71" i="28"/>
  <c r="Q74" i="28"/>
  <c r="G80" i="28"/>
  <c r="Q82" i="28"/>
  <c r="Q95" i="28"/>
  <c r="Q97" i="28"/>
  <c r="G99" i="28"/>
  <c r="Q100" i="28"/>
  <c r="Q103" i="28"/>
  <c r="Q106" i="28"/>
  <c r="G121" i="28"/>
  <c r="G123" i="28"/>
  <c r="G130" i="28"/>
  <c r="G133" i="28"/>
  <c r="G135" i="28"/>
  <c r="Q137" i="28"/>
  <c r="Q139" i="28"/>
  <c r="Q146" i="28"/>
  <c r="G149" i="28"/>
  <c r="Q154" i="28"/>
  <c r="Q158" i="28"/>
  <c r="Q160" i="28"/>
  <c r="Q162" i="28"/>
  <c r="G166" i="28"/>
  <c r="Q168" i="28"/>
  <c r="G182" i="28"/>
  <c r="Q187" i="28"/>
  <c r="Q191" i="28"/>
  <c r="G4" i="28"/>
  <c r="G5" i="28"/>
  <c r="G8" i="28"/>
  <c r="G9" i="28"/>
  <c r="G12" i="28"/>
  <c r="G13" i="28"/>
  <c r="G16" i="28"/>
  <c r="G17" i="28"/>
  <c r="G20" i="28"/>
  <c r="G21" i="28"/>
  <c r="G24" i="28"/>
  <c r="G25" i="28"/>
  <c r="G28" i="28"/>
  <c r="G29" i="28"/>
  <c r="G32" i="28"/>
  <c r="G33" i="28"/>
  <c r="G36" i="28"/>
  <c r="G37" i="28"/>
  <c r="G40" i="28"/>
  <c r="G41" i="28"/>
  <c r="G44" i="28"/>
  <c r="G45" i="28"/>
  <c r="G48" i="28"/>
  <c r="G49" i="28"/>
  <c r="G52" i="28"/>
  <c r="G53" i="28"/>
  <c r="G56" i="28"/>
  <c r="Q57" i="28"/>
  <c r="G59" i="28"/>
  <c r="G61" i="28"/>
  <c r="G74" i="28"/>
  <c r="Q76" i="28"/>
  <c r="G82" i="28"/>
  <c r="G85" i="28"/>
  <c r="G88" i="28"/>
  <c r="Q89" i="28"/>
  <c r="G91" i="28"/>
  <c r="G93" i="28"/>
  <c r="G106" i="28"/>
  <c r="Q108" i="28"/>
  <c r="G112" i="28"/>
  <c r="Q114" i="28"/>
  <c r="G125" i="28"/>
  <c r="G128" i="28"/>
  <c r="Q136" i="28"/>
  <c r="G139" i="28"/>
  <c r="Q142" i="28"/>
  <c r="Q148" i="28"/>
  <c r="Q151" i="28"/>
  <c r="G154" i="28"/>
  <c r="G158" i="28"/>
  <c r="Q159" i="28"/>
  <c r="G162" i="28"/>
  <c r="Q164" i="28"/>
  <c r="Q170" i="28"/>
  <c r="G176" i="28"/>
  <c r="G181" i="28"/>
  <c r="G191" i="28"/>
  <c r="E179" i="28"/>
  <c r="E183" i="28"/>
  <c r="G194" i="28"/>
  <c r="M33" i="28"/>
  <c r="M49" i="28"/>
  <c r="M53" i="28"/>
  <c r="M166" i="28"/>
  <c r="E5" i="28"/>
  <c r="E6" i="28"/>
  <c r="E9" i="28"/>
  <c r="E10" i="28"/>
  <c r="E13" i="28"/>
  <c r="E14" i="28"/>
  <c r="E17" i="28"/>
  <c r="E18" i="28"/>
  <c r="E21" i="28"/>
  <c r="E22" i="28"/>
  <c r="E25" i="28"/>
  <c r="E26" i="28"/>
  <c r="E29" i="28"/>
  <c r="E30" i="28"/>
  <c r="E33" i="28"/>
  <c r="E34" i="28"/>
  <c r="E37" i="28"/>
  <c r="E38" i="28"/>
  <c r="E41" i="28"/>
  <c r="E42" i="28"/>
  <c r="E45" i="28"/>
  <c r="E46" i="28"/>
  <c r="E49" i="28"/>
  <c r="E50" i="28"/>
  <c r="E53" i="28"/>
  <c r="E54" i="28"/>
  <c r="E56" i="28"/>
  <c r="E60" i="28"/>
  <c r="O64" i="28"/>
  <c r="E66" i="28"/>
  <c r="E70" i="28"/>
  <c r="E72" i="28"/>
  <c r="E76" i="28"/>
  <c r="O80" i="28"/>
  <c r="E82" i="28"/>
  <c r="E86" i="28"/>
  <c r="E88" i="28"/>
  <c r="E92" i="28"/>
  <c r="O96" i="28"/>
  <c r="E98" i="28"/>
  <c r="E102" i="28"/>
  <c r="E104" i="28"/>
  <c r="E108" i="28"/>
  <c r="I111" i="28"/>
  <c r="O112" i="28"/>
  <c r="E114" i="28"/>
  <c r="E118" i="28"/>
  <c r="E120" i="28"/>
  <c r="I125" i="28"/>
  <c r="O130" i="28"/>
  <c r="E137" i="28"/>
  <c r="I140" i="28"/>
  <c r="O142" i="28"/>
  <c r="E145" i="28"/>
  <c r="E153" i="28"/>
  <c r="E155" i="28"/>
  <c r="E167" i="28"/>
  <c r="E169" i="28"/>
  <c r="E171" i="28"/>
  <c r="E175" i="28"/>
  <c r="E194" i="28"/>
  <c r="M5" i="28"/>
  <c r="M9" i="28"/>
  <c r="M13" i="28"/>
  <c r="M17" i="28"/>
  <c r="M21" i="28"/>
  <c r="M25" i="28"/>
  <c r="M29" i="28"/>
  <c r="M37" i="28"/>
  <c r="M41" i="28"/>
  <c r="M45" i="28"/>
  <c r="M4" i="28"/>
  <c r="M8" i="28"/>
  <c r="M12" i="28"/>
  <c r="M16" i="28"/>
  <c r="M20" i="28"/>
  <c r="M24" i="28"/>
  <c r="M28" i="28"/>
  <c r="M32" i="28"/>
  <c r="M36" i="28"/>
  <c r="M40" i="28"/>
  <c r="M44" i="28"/>
  <c r="M48" i="28"/>
  <c r="M52" i="28"/>
  <c r="E55" i="28"/>
  <c r="E59" i="28"/>
  <c r="O60" i="28"/>
  <c r="E65" i="28"/>
  <c r="E69" i="28"/>
  <c r="E71" i="28"/>
  <c r="E75" i="28"/>
  <c r="O76" i="28"/>
  <c r="E81" i="28"/>
  <c r="E85" i="28"/>
  <c r="E87" i="28"/>
  <c r="E91" i="28"/>
  <c r="O92" i="28"/>
  <c r="E97" i="28"/>
  <c r="E101" i="28"/>
  <c r="E103" i="28"/>
  <c r="E107" i="28"/>
  <c r="O108" i="28"/>
  <c r="E113" i="28"/>
  <c r="E117" i="28"/>
  <c r="E119" i="28"/>
  <c r="E122" i="28"/>
  <c r="M125" i="28"/>
  <c r="E128" i="28"/>
  <c r="O137" i="28"/>
  <c r="E139" i="28"/>
  <c r="E141" i="28"/>
  <c r="O145" i="28"/>
  <c r="O147" i="28"/>
  <c r="E149" i="28"/>
  <c r="O155" i="28"/>
  <c r="M175" i="28"/>
  <c r="E185" i="28"/>
  <c r="M195" i="28"/>
  <c r="M193" i="28"/>
  <c r="M191" i="28"/>
  <c r="M188" i="28"/>
  <c r="M182" i="28"/>
  <c r="M179" i="28"/>
  <c r="M172" i="28"/>
  <c r="M162" i="28"/>
  <c r="M159" i="28"/>
  <c r="M158" i="28"/>
  <c r="M154" i="28"/>
  <c r="M149" i="28"/>
  <c r="M148" i="28"/>
  <c r="M139" i="28"/>
  <c r="M138" i="28"/>
  <c r="M135" i="28"/>
  <c r="M130" i="28"/>
  <c r="M129" i="28"/>
  <c r="M128" i="28"/>
  <c r="M127" i="28"/>
  <c r="M122" i="28"/>
  <c r="M121" i="28"/>
  <c r="M120" i="28"/>
  <c r="M119" i="28"/>
  <c r="M114" i="28"/>
  <c r="M113" i="28"/>
  <c r="M104" i="28"/>
  <c r="M103" i="28"/>
  <c r="M98" i="28"/>
  <c r="M97" i="28"/>
  <c r="M88" i="28"/>
  <c r="M87" i="28"/>
  <c r="M82" i="28"/>
  <c r="M81" i="28"/>
  <c r="M72" i="28"/>
  <c r="M71" i="28"/>
  <c r="M66" i="28"/>
  <c r="M65" i="28"/>
  <c r="M56" i="28"/>
  <c r="M55" i="28"/>
  <c r="M51" i="28"/>
  <c r="M46" i="28"/>
  <c r="M43" i="28"/>
  <c r="M38" i="28"/>
  <c r="M35" i="28"/>
  <c r="M30" i="28"/>
  <c r="M27" i="28"/>
  <c r="M22" i="28"/>
  <c r="M19" i="28"/>
  <c r="M14" i="28"/>
  <c r="M11" i="28"/>
  <c r="M6" i="28"/>
  <c r="M189" i="28"/>
  <c r="M186" i="28"/>
  <c r="M183" i="28"/>
  <c r="M180" i="28"/>
  <c r="M173" i="28"/>
  <c r="M163" i="28"/>
  <c r="M155" i="28"/>
  <c r="M150" i="28"/>
  <c r="M147" i="28"/>
  <c r="M146" i="28"/>
  <c r="M145" i="28"/>
  <c r="M144" i="28"/>
  <c r="M143" i="28"/>
  <c r="M142" i="28"/>
  <c r="M141" i="28"/>
  <c r="M140" i="28"/>
  <c r="M137" i="28"/>
  <c r="M136" i="28"/>
  <c r="M118" i="28"/>
  <c r="M117" i="28"/>
  <c r="M108" i="28"/>
  <c r="M107" i="28"/>
  <c r="M102" i="28"/>
  <c r="M101" i="28"/>
  <c r="M92" i="28"/>
  <c r="M91" i="28"/>
  <c r="M86" i="28"/>
  <c r="M85" i="28"/>
  <c r="M76" i="28"/>
  <c r="M75" i="28"/>
  <c r="M70" i="28"/>
  <c r="M69" i="28"/>
  <c r="M60" i="28"/>
  <c r="M59" i="28"/>
  <c r="M54" i="28"/>
  <c r="M187" i="28"/>
  <c r="M181" i="28"/>
  <c r="M174" i="28"/>
  <c r="M170" i="28"/>
  <c r="M164" i="28"/>
  <c r="M156" i="28"/>
  <c r="M152" i="28"/>
  <c r="M151" i="28"/>
  <c r="M112" i="28"/>
  <c r="M111" i="28"/>
  <c r="M106" i="28"/>
  <c r="M105" i="28"/>
  <c r="M96" i="28"/>
  <c r="M95" i="28"/>
  <c r="M90" i="28"/>
  <c r="M89" i="28"/>
  <c r="M80" i="28"/>
  <c r="M79" i="28"/>
  <c r="M74" i="28"/>
  <c r="M73" i="28"/>
  <c r="M64" i="28"/>
  <c r="M63" i="28"/>
  <c r="M58" i="28"/>
  <c r="M57" i="28"/>
  <c r="M50" i="28"/>
  <c r="M47" i="28"/>
  <c r="M42" i="28"/>
  <c r="M39" i="28"/>
  <c r="M34" i="28"/>
  <c r="M31" i="28"/>
  <c r="M26" i="28"/>
  <c r="M23" i="28"/>
  <c r="M18" i="28"/>
  <c r="M15" i="28"/>
  <c r="M10" i="28"/>
  <c r="M7" i="28"/>
  <c r="M62" i="28"/>
  <c r="M67" i="28"/>
  <c r="M78" i="28"/>
  <c r="M83" i="28"/>
  <c r="M94" i="28"/>
  <c r="M99" i="28"/>
  <c r="M110" i="28"/>
  <c r="M115" i="28"/>
  <c r="M124" i="28"/>
  <c r="M132" i="28"/>
  <c r="M165" i="28"/>
  <c r="M190" i="28"/>
  <c r="C194" i="28"/>
  <c r="M126" i="28"/>
  <c r="M134" i="28"/>
  <c r="M167" i="28"/>
  <c r="C193" i="28"/>
  <c r="M61" i="28"/>
  <c r="M68" i="28"/>
  <c r="M77" i="28"/>
  <c r="M84" i="28"/>
  <c r="M93" i="28"/>
  <c r="M100" i="28"/>
  <c r="M109" i="28"/>
  <c r="M116" i="28"/>
  <c r="M123" i="28"/>
  <c r="M131" i="28"/>
  <c r="M157" i="28"/>
  <c r="M171" i="28"/>
  <c r="G6" i="28"/>
  <c r="Q6" i="28"/>
  <c r="Q9" i="28"/>
  <c r="G11" i="28"/>
  <c r="G14" i="28"/>
  <c r="Q14" i="28"/>
  <c r="Q17" i="28"/>
  <c r="G19" i="28"/>
  <c r="G22" i="28"/>
  <c r="Q22" i="28"/>
  <c r="Q25" i="28"/>
  <c r="G27" i="28"/>
  <c r="G30" i="28"/>
  <c r="Q30" i="28"/>
  <c r="Q33" i="28"/>
  <c r="G35" i="28"/>
  <c r="G38" i="28"/>
  <c r="Q38" i="28"/>
  <c r="Q41" i="28"/>
  <c r="G43" i="28"/>
  <c r="G46" i="28"/>
  <c r="Q46" i="28"/>
  <c r="Q49" i="28"/>
  <c r="G51" i="28"/>
  <c r="G54" i="28"/>
  <c r="G55" i="28"/>
  <c r="Q56" i="28"/>
  <c r="G60" i="28"/>
  <c r="Q61" i="28"/>
  <c r="Q62" i="28"/>
  <c r="G65" i="28"/>
  <c r="Q67" i="28"/>
  <c r="G70" i="28"/>
  <c r="G71" i="28"/>
  <c r="Q72" i="28"/>
  <c r="G76" i="28"/>
  <c r="Q77" i="28"/>
  <c r="Q78" i="28"/>
  <c r="G81" i="28"/>
  <c r="Q83" i="28"/>
  <c r="G86" i="28"/>
  <c r="G87" i="28"/>
  <c r="Q88" i="28"/>
  <c r="G92" i="28"/>
  <c r="Q93" i="28"/>
  <c r="Q94" i="28"/>
  <c r="G97" i="28"/>
  <c r="Q99" i="28"/>
  <c r="G102" i="28"/>
  <c r="G103" i="28"/>
  <c r="Q104" i="28"/>
  <c r="G108" i="28"/>
  <c r="Q109" i="28"/>
  <c r="Q110" i="28"/>
  <c r="G113" i="28"/>
  <c r="Q115" i="28"/>
  <c r="G118" i="28"/>
  <c r="G119" i="28"/>
  <c r="Q120" i="28"/>
  <c r="Q122" i="28"/>
  <c r="Q123" i="28"/>
  <c r="Q124" i="28"/>
  <c r="Q125" i="28"/>
  <c r="Q126" i="28"/>
  <c r="Q128" i="28"/>
  <c r="Q130" i="28"/>
  <c r="Q131" i="28"/>
  <c r="Q132" i="28"/>
  <c r="Q133" i="28"/>
  <c r="Q134" i="28"/>
  <c r="G136" i="28"/>
  <c r="G138" i="28"/>
  <c r="G141" i="28"/>
  <c r="G142" i="28"/>
  <c r="G143" i="28"/>
  <c r="G144" i="28"/>
  <c r="G145" i="28"/>
  <c r="G146" i="28"/>
  <c r="G147" i="28"/>
  <c r="G148" i="28"/>
  <c r="G150" i="28"/>
  <c r="Q153" i="28"/>
  <c r="Q157" i="28"/>
  <c r="G160" i="28"/>
  <c r="Q161" i="28"/>
  <c r="Q165" i="28"/>
  <c r="Q166" i="28"/>
  <c r="Q167" i="28"/>
  <c r="Q171" i="28"/>
  <c r="G173" i="28"/>
  <c r="Q175" i="28"/>
  <c r="G177" i="28"/>
  <c r="Q178" i="28"/>
  <c r="G183" i="28"/>
  <c r="Q184" i="28"/>
  <c r="G186" i="28"/>
  <c r="G189" i="28"/>
  <c r="G192" i="28"/>
  <c r="Q5" i="28"/>
  <c r="G7" i="28"/>
  <c r="G10" i="28"/>
  <c r="Q10" i="28"/>
  <c r="Q13" i="28"/>
  <c r="G15" i="28"/>
  <c r="G18" i="28"/>
  <c r="Q18" i="28"/>
  <c r="Q21" i="28"/>
  <c r="G23" i="28"/>
  <c r="G26" i="28"/>
  <c r="Q26" i="28"/>
  <c r="Q29" i="28"/>
  <c r="G31" i="28"/>
  <c r="G34" i="28"/>
  <c r="Q34" i="28"/>
  <c r="Q37" i="28"/>
  <c r="G39" i="28"/>
  <c r="G42" i="28"/>
  <c r="Q42" i="28"/>
  <c r="Q45" i="28"/>
  <c r="G47" i="28"/>
  <c r="G50" i="28"/>
  <c r="Q50" i="28"/>
  <c r="Q53" i="28"/>
  <c r="Q54" i="28"/>
  <c r="G57" i="28"/>
  <c r="Q59" i="28"/>
  <c r="G62" i="28"/>
  <c r="G63" i="28"/>
  <c r="Q64" i="28"/>
  <c r="G68" i="28"/>
  <c r="Q69" i="28"/>
  <c r="Q70" i="28"/>
  <c r="G73" i="28"/>
  <c r="Q75" i="28"/>
  <c r="G78" i="28"/>
  <c r="G79" i="28"/>
  <c r="Q80" i="28"/>
  <c r="G84" i="28"/>
  <c r="Q85" i="28"/>
  <c r="Q86" i="28"/>
  <c r="G89" i="28"/>
  <c r="Q91" i="28"/>
  <c r="G94" i="28"/>
  <c r="G95" i="28"/>
  <c r="Q96" i="28"/>
  <c r="G100" i="28"/>
  <c r="Q101" i="28"/>
  <c r="Q102" i="28"/>
  <c r="G105" i="28"/>
  <c r="Q107" i="28"/>
  <c r="G110" i="28"/>
  <c r="G111" i="28"/>
  <c r="Q112" i="28"/>
  <c r="G116" i="28"/>
  <c r="Q117" i="28"/>
  <c r="Q118" i="28"/>
  <c r="G124" i="28"/>
  <c r="G126" i="28"/>
  <c r="G132" i="28"/>
  <c r="G134" i="28"/>
  <c r="Q140" i="28"/>
  <c r="Q144" i="28"/>
  <c r="Q150" i="28"/>
  <c r="G152" i="28"/>
  <c r="G157" i="28"/>
  <c r="Q163" i="28"/>
  <c r="G165" i="28"/>
  <c r="G167" i="28"/>
  <c r="Q169" i="28"/>
  <c r="G174" i="28"/>
  <c r="G175" i="28"/>
  <c r="Q176" i="28"/>
  <c r="G178" i="28"/>
  <c r="Q180" i="28"/>
  <c r="Q183" i="28"/>
  <c r="G185" i="28"/>
  <c r="Q186" i="28"/>
  <c r="G190" i="28"/>
  <c r="Q192" i="28"/>
  <c r="Q194" i="28"/>
  <c r="O5" i="28"/>
  <c r="O7" i="28"/>
  <c r="O9" i="28"/>
  <c r="O11" i="28"/>
  <c r="O13" i="28"/>
  <c r="O15" i="28"/>
  <c r="O17" i="28"/>
  <c r="O19" i="28"/>
  <c r="O21" i="28"/>
  <c r="O23" i="28"/>
  <c r="O25" i="28"/>
  <c r="O27" i="28"/>
  <c r="O29" i="28"/>
  <c r="O31" i="28"/>
  <c r="O33" i="28"/>
  <c r="O35" i="28"/>
  <c r="O37" i="28"/>
  <c r="O39" i="28"/>
  <c r="O41" i="28"/>
  <c r="O43" i="28"/>
  <c r="O45" i="28"/>
  <c r="O47" i="28"/>
  <c r="O49" i="28"/>
  <c r="O51" i="28"/>
  <c r="O54" i="28"/>
  <c r="O58" i="28"/>
  <c r="O62" i="28"/>
  <c r="O66" i="28"/>
  <c r="O70" i="28"/>
  <c r="O74" i="28"/>
  <c r="O78" i="28"/>
  <c r="O82" i="28"/>
  <c r="O86" i="28"/>
  <c r="O90" i="28"/>
  <c r="O94" i="28"/>
  <c r="O98" i="28"/>
  <c r="O102" i="28"/>
  <c r="O106" i="28"/>
  <c r="O110" i="28"/>
  <c r="O114" i="28"/>
  <c r="O118" i="28"/>
  <c r="O165" i="28"/>
  <c r="O192" i="28"/>
  <c r="O191" i="28"/>
  <c r="O183" i="28"/>
  <c r="O175" i="28"/>
  <c r="O167" i="28"/>
  <c r="O159" i="28"/>
  <c r="O152" i="28"/>
  <c r="O148" i="28"/>
  <c r="O144" i="28"/>
  <c r="O138" i="28"/>
  <c r="O135" i="28"/>
  <c r="O133" i="28"/>
  <c r="O131" i="28"/>
  <c r="O129" i="28"/>
  <c r="O127" i="28"/>
  <c r="O125" i="28"/>
  <c r="O123" i="28"/>
  <c r="O121" i="28"/>
  <c r="O185" i="28"/>
  <c r="O179" i="28"/>
  <c r="O173" i="28"/>
  <c r="O163" i="28"/>
  <c r="O153" i="28"/>
  <c r="O151" i="28"/>
  <c r="O150" i="28"/>
  <c r="O149" i="28"/>
  <c r="O140" i="28"/>
  <c r="O139" i="28"/>
  <c r="O132" i="28"/>
  <c r="O124" i="28"/>
  <c r="O194" i="28"/>
  <c r="O193" i="28"/>
  <c r="O177" i="28"/>
  <c r="O171" i="28"/>
  <c r="O161" i="28"/>
  <c r="O134" i="28"/>
  <c r="O126" i="28"/>
  <c r="O119" i="28"/>
  <c r="O117" i="28"/>
  <c r="O115" i="28"/>
  <c r="O113" i="28"/>
  <c r="O111" i="28"/>
  <c r="O109" i="28"/>
  <c r="O107" i="28"/>
  <c r="O105" i="28"/>
  <c r="O103" i="28"/>
  <c r="O101" i="28"/>
  <c r="O99" i="28"/>
  <c r="O97" i="28"/>
  <c r="O95" i="28"/>
  <c r="O93" i="28"/>
  <c r="O91" i="28"/>
  <c r="O89" i="28"/>
  <c r="O87" i="28"/>
  <c r="O85" i="28"/>
  <c r="O83" i="28"/>
  <c r="O81" i="28"/>
  <c r="O79" i="28"/>
  <c r="O77" i="28"/>
  <c r="O75" i="28"/>
  <c r="O73" i="28"/>
  <c r="O71" i="28"/>
  <c r="O69" i="28"/>
  <c r="O67" i="28"/>
  <c r="O65" i="28"/>
  <c r="O63" i="28"/>
  <c r="O61" i="28"/>
  <c r="O59" i="28"/>
  <c r="O57" i="28"/>
  <c r="O55" i="28"/>
  <c r="O53" i="28"/>
  <c r="O189" i="28"/>
  <c r="O195" i="28"/>
  <c r="O157" i="28"/>
  <c r="O169" i="28"/>
  <c r="O181" i="28"/>
  <c r="I194" i="28"/>
  <c r="I186" i="28"/>
  <c r="I178" i="28"/>
  <c r="I170" i="28"/>
  <c r="I162" i="28"/>
  <c r="I154" i="28"/>
  <c r="I150" i="28"/>
  <c r="I146" i="28"/>
  <c r="I142" i="28"/>
  <c r="I139" i="28"/>
  <c r="I134" i="28"/>
  <c r="I132" i="28"/>
  <c r="I130" i="28"/>
  <c r="I128" i="28"/>
  <c r="I126" i="28"/>
  <c r="I124" i="28"/>
  <c r="I122" i="28"/>
  <c r="I120" i="28"/>
  <c r="I195" i="28"/>
  <c r="I190" i="28"/>
  <c r="I184" i="28"/>
  <c r="I141" i="28"/>
  <c r="I136" i="28"/>
  <c r="I135" i="28"/>
  <c r="I127" i="28"/>
  <c r="I188" i="28"/>
  <c r="I182" i="28"/>
  <c r="I176" i="28"/>
  <c r="I160" i="28"/>
  <c r="I158" i="28"/>
  <c r="I156" i="28"/>
  <c r="I144" i="28"/>
  <c r="I137" i="28"/>
  <c r="I129" i="28"/>
  <c r="I121" i="28"/>
  <c r="I118" i="28"/>
  <c r="I116" i="28"/>
  <c r="I114" i="28"/>
  <c r="I112" i="28"/>
  <c r="I110" i="28"/>
  <c r="I108" i="28"/>
  <c r="I106" i="28"/>
  <c r="I104" i="28"/>
  <c r="I102" i="28"/>
  <c r="I100" i="28"/>
  <c r="I98" i="28"/>
  <c r="I96" i="28"/>
  <c r="I94" i="28"/>
  <c r="I92" i="28"/>
  <c r="I90" i="28"/>
  <c r="I88" i="28"/>
  <c r="I86" i="28"/>
  <c r="I84" i="28"/>
  <c r="I82" i="28"/>
  <c r="I80" i="28"/>
  <c r="I78" i="28"/>
  <c r="I76" i="28"/>
  <c r="I74" i="28"/>
  <c r="I72" i="28"/>
  <c r="I70" i="28"/>
  <c r="I68" i="28"/>
  <c r="I66" i="28"/>
  <c r="I64" i="28"/>
  <c r="I62" i="28"/>
  <c r="I60" i="28"/>
  <c r="I58" i="28"/>
  <c r="I56" i="28"/>
  <c r="I54" i="28"/>
  <c r="E192" i="28"/>
  <c r="E189" i="28"/>
  <c r="E181" i="28"/>
  <c r="E173" i="28"/>
  <c r="E165" i="28"/>
  <c r="E157" i="28"/>
  <c r="E151" i="28"/>
  <c r="E147" i="28"/>
  <c r="E143" i="28"/>
  <c r="E135" i="28"/>
  <c r="E133" i="28"/>
  <c r="E131" i="28"/>
  <c r="E129" i="28"/>
  <c r="E127" i="28"/>
  <c r="E125" i="28"/>
  <c r="E123" i="28"/>
  <c r="E121" i="28"/>
  <c r="G137" i="28"/>
  <c r="G140" i="28"/>
  <c r="M153" i="28"/>
  <c r="G155" i="28"/>
  <c r="G156" i="28"/>
  <c r="M160" i="28"/>
  <c r="M161" i="28"/>
  <c r="G163" i="28"/>
  <c r="G164" i="28"/>
  <c r="M168" i="28"/>
  <c r="M169" i="28"/>
  <c r="G171" i="28"/>
  <c r="G172" i="28"/>
  <c r="Q173" i="28"/>
  <c r="Q174" i="28"/>
  <c r="M176" i="28"/>
  <c r="M177" i="28"/>
  <c r="G179" i="28"/>
  <c r="G180" i="28"/>
  <c r="Q181" i="28"/>
  <c r="Q182" i="28"/>
  <c r="M184" i="28"/>
  <c r="M185" i="28"/>
  <c r="G187" i="28"/>
  <c r="G188" i="28"/>
  <c r="Q189" i="28"/>
  <c r="Q190" i="28"/>
  <c r="M192" i="28"/>
  <c r="G193" i="28"/>
  <c r="Q193" i="28"/>
  <c r="M194" i="28"/>
  <c r="E136" i="28"/>
  <c r="E138" i="28"/>
  <c r="E140" i="28"/>
  <c r="E142" i="28"/>
  <c r="I143" i="28"/>
  <c r="E144" i="28"/>
  <c r="I145" i="28"/>
  <c r="E146" i="28"/>
  <c r="I147" i="28"/>
  <c r="E148" i="28"/>
  <c r="I149" i="28"/>
  <c r="E150" i="28"/>
  <c r="I151" i="28"/>
  <c r="E152" i="28"/>
  <c r="I153" i="28"/>
  <c r="E154" i="28"/>
  <c r="O154" i="28"/>
  <c r="I155" i="28"/>
  <c r="E156" i="28"/>
  <c r="O156" i="28"/>
  <c r="I157" i="28"/>
  <c r="E158" i="28"/>
  <c r="O158" i="28"/>
  <c r="I159" i="28"/>
  <c r="E160" i="28"/>
  <c r="O160" i="28"/>
  <c r="I161" i="28"/>
  <c r="E162" i="28"/>
  <c r="O162" i="28"/>
  <c r="I163" i="28"/>
  <c r="E164" i="28"/>
  <c r="O164" i="28"/>
  <c r="I165" i="28"/>
  <c r="E166" i="28"/>
  <c r="O166" i="28"/>
  <c r="I167" i="28"/>
  <c r="E168" i="28"/>
  <c r="O168" i="28"/>
  <c r="I169" i="28"/>
  <c r="E170" i="28"/>
  <c r="O170" i="28"/>
  <c r="I171" i="28"/>
  <c r="E172" i="28"/>
  <c r="O172" i="28"/>
  <c r="I173" i="28"/>
  <c r="E174" i="28"/>
  <c r="O174" i="28"/>
  <c r="I175" i="28"/>
  <c r="E176" i="28"/>
  <c r="O176" i="28"/>
  <c r="I177" i="28"/>
  <c r="E178" i="28"/>
  <c r="O178" i="28"/>
  <c r="I179" i="28"/>
  <c r="E180" i="28"/>
  <c r="O180" i="28"/>
  <c r="I181" i="28"/>
  <c r="E182" i="28"/>
  <c r="O182" i="28"/>
  <c r="I183" i="28"/>
  <c r="E184" i="28"/>
  <c r="O184" i="28"/>
  <c r="I185" i="28"/>
  <c r="E186" i="28"/>
  <c r="O186" i="28"/>
  <c r="I187" i="28"/>
  <c r="E188" i="28"/>
  <c r="O188" i="28"/>
  <c r="I189" i="28"/>
  <c r="E190" i="28"/>
  <c r="O190" i="28"/>
  <c r="I191" i="28"/>
  <c r="N1258" i="1"/>
  <c r="N141" i="25"/>
  <c r="O98" i="25"/>
  <c r="D141" i="25"/>
  <c r="O1258" i="1"/>
  <c r="D931" i="1" l="1"/>
  <c r="D943" i="1"/>
  <c r="D961" i="1"/>
  <c r="D956" i="1"/>
  <c r="D932" i="1"/>
  <c r="D940" i="1"/>
  <c r="D953" i="1"/>
  <c r="D944" i="1"/>
  <c r="D947" i="1"/>
  <c r="D962" i="1"/>
  <c r="D1220" i="1"/>
  <c r="D1219" i="1"/>
  <c r="D423" i="1"/>
  <c r="D422" i="1"/>
  <c r="D827" i="1"/>
  <c r="D826" i="1"/>
  <c r="D151" i="1"/>
  <c r="D150" i="1"/>
  <c r="D571" i="1"/>
  <c r="D567" i="1"/>
  <c r="D581" i="1"/>
  <c r="D586" i="1"/>
  <c r="D597" i="1"/>
  <c r="D570" i="1"/>
  <c r="D579" i="1"/>
  <c r="D596" i="1"/>
  <c r="D587" i="1"/>
  <c r="D563" i="1"/>
  <c r="D589" i="1"/>
  <c r="D807" i="1"/>
  <c r="D815" i="1"/>
  <c r="D828" i="1"/>
  <c r="D841" i="1"/>
  <c r="D821" i="1"/>
  <c r="D829" i="1"/>
  <c r="D838" i="1"/>
  <c r="D846" i="1"/>
  <c r="D839" i="1"/>
  <c r="D811" i="1"/>
  <c r="D845" i="1"/>
  <c r="D432" i="1"/>
  <c r="D393" i="1"/>
  <c r="D424" i="1"/>
  <c r="D376" i="1"/>
  <c r="D457" i="1"/>
  <c r="D510" i="1"/>
  <c r="D484" i="1"/>
  <c r="D496" i="1"/>
  <c r="D509" i="1"/>
  <c r="D429" i="1"/>
  <c r="D377" i="1"/>
  <c r="D479" i="1"/>
  <c r="D448" i="1"/>
  <c r="D508" i="1"/>
  <c r="D511" i="1"/>
  <c r="D401" i="1"/>
  <c r="D378" i="1"/>
  <c r="D503" i="1"/>
  <c r="D495" i="1"/>
  <c r="D512" i="1"/>
  <c r="D109" i="1"/>
  <c r="D128" i="1"/>
  <c r="D132" i="1"/>
  <c r="D119" i="1"/>
  <c r="D110" i="1"/>
  <c r="D125" i="1"/>
  <c r="D129" i="1"/>
  <c r="D112" i="1"/>
  <c r="D133" i="1"/>
  <c r="D115" i="1"/>
  <c r="D1186" i="1"/>
  <c r="D1231" i="1"/>
  <c r="D1196" i="1"/>
  <c r="D1187" i="1"/>
  <c r="D1212" i="1"/>
  <c r="D630" i="1"/>
  <c r="D631" i="1"/>
  <c r="D999" i="1"/>
  <c r="D998" i="1"/>
  <c r="D1123" i="1"/>
  <c r="D1145" i="1"/>
  <c r="D1120" i="1"/>
  <c r="D1141" i="1"/>
  <c r="D1162" i="1"/>
  <c r="D1174" i="1"/>
  <c r="D1102" i="1"/>
  <c r="D1106" i="1"/>
  <c r="D1110" i="1"/>
  <c r="D1119" i="1"/>
  <c r="D1177" i="1"/>
  <c r="D925" i="1"/>
  <c r="D920" i="1"/>
  <c r="D898" i="1"/>
  <c r="D904" i="1"/>
  <c r="D914" i="1"/>
  <c r="D919" i="1"/>
  <c r="D926" i="1"/>
  <c r="D911" i="1"/>
  <c r="D913" i="1"/>
  <c r="D922" i="1"/>
  <c r="D902" i="1"/>
  <c r="D871" i="1"/>
  <c r="D877" i="1"/>
  <c r="D885" i="1"/>
  <c r="D894" i="1"/>
  <c r="D854" i="1"/>
  <c r="D863" i="1"/>
  <c r="D853" i="1"/>
  <c r="D884" i="1"/>
  <c r="D893" i="1"/>
  <c r="D888" i="1"/>
  <c r="D809" i="1"/>
  <c r="D843" i="1"/>
  <c r="D847" i="1"/>
  <c r="D840" i="1"/>
  <c r="D831" i="1"/>
  <c r="D844" i="1"/>
  <c r="D848" i="1"/>
  <c r="D824" i="1"/>
  <c r="D818" i="1"/>
  <c r="D808" i="1"/>
  <c r="D136" i="1"/>
  <c r="D162" i="1"/>
  <c r="D194" i="1"/>
  <c r="D197" i="1"/>
  <c r="D177" i="1"/>
  <c r="D189" i="1"/>
  <c r="D198" i="1"/>
  <c r="D175" i="1"/>
  <c r="D137" i="1"/>
  <c r="D144" i="1"/>
  <c r="D1172" i="1"/>
  <c r="D1104" i="1"/>
  <c r="D1154" i="1"/>
  <c r="D1118" i="1"/>
  <c r="D1133" i="1"/>
  <c r="D1176" i="1"/>
  <c r="D1103" i="1"/>
  <c r="D1130" i="1"/>
  <c r="D1114" i="1"/>
  <c r="D1122" i="1"/>
  <c r="D152" i="1"/>
  <c r="D140" i="1"/>
  <c r="D156" i="1"/>
  <c r="D195" i="1"/>
  <c r="D178" i="1"/>
  <c r="D135" i="1"/>
  <c r="D154" i="1"/>
  <c r="D196" i="1"/>
  <c r="D176" i="1"/>
  <c r="D170" i="1"/>
  <c r="D186" i="1"/>
  <c r="D625" i="1"/>
  <c r="D673" i="1"/>
  <c r="D603" i="1"/>
  <c r="D620" i="1"/>
  <c r="D604" i="1"/>
  <c r="D644" i="1"/>
  <c r="D668" i="1"/>
  <c r="D672" i="1"/>
  <c r="D659" i="1"/>
  <c r="D657" i="1"/>
  <c r="D337" i="1"/>
  <c r="D368" i="1"/>
  <c r="D371" i="1"/>
  <c r="D354" i="1"/>
  <c r="D302" i="1"/>
  <c r="D372" i="1"/>
  <c r="D301" i="1"/>
  <c r="D315" i="1"/>
  <c r="D352" i="1"/>
  <c r="D363" i="1"/>
  <c r="D965" i="1"/>
  <c r="D1012" i="1"/>
  <c r="D980" i="1"/>
  <c r="D1035" i="1"/>
  <c r="D976" i="1"/>
  <c r="D981" i="1"/>
  <c r="D1036" i="1"/>
  <c r="D1029" i="1"/>
  <c r="D989" i="1"/>
  <c r="D966" i="1"/>
  <c r="D91" i="1"/>
  <c r="D96" i="1"/>
  <c r="D90" i="1"/>
  <c r="D95" i="1"/>
  <c r="D73" i="1"/>
  <c r="D900" i="1"/>
  <c r="D906" i="1"/>
  <c r="D912" i="1"/>
  <c r="D918" i="1"/>
  <c r="D910" i="1"/>
  <c r="D928" i="1"/>
  <c r="D909" i="1"/>
  <c r="D899" i="1"/>
  <c r="D927" i="1"/>
  <c r="D921" i="1"/>
  <c r="D324" i="1"/>
  <c r="D323" i="1"/>
  <c r="D719" i="1"/>
  <c r="D720" i="1"/>
  <c r="D1140" i="1"/>
  <c r="D1139" i="1"/>
  <c r="D108" i="1"/>
  <c r="D123" i="1"/>
  <c r="D114" i="1"/>
  <c r="D116" i="1"/>
  <c r="D131" i="1"/>
  <c r="D121" i="1"/>
  <c r="D130" i="1"/>
  <c r="D118" i="1"/>
  <c r="D113" i="1"/>
  <c r="D111" i="1"/>
  <c r="D120" i="1"/>
  <c r="D867" i="1"/>
  <c r="D874" i="1"/>
  <c r="D889" i="1"/>
  <c r="D891" i="1"/>
  <c r="D887" i="1"/>
  <c r="D855" i="1"/>
  <c r="D860" i="1"/>
  <c r="D852" i="1"/>
  <c r="D882" i="1"/>
  <c r="D875" i="1"/>
  <c r="D892" i="1"/>
  <c r="D223" i="1"/>
  <c r="D252" i="1"/>
  <c r="D291" i="1"/>
  <c r="D267" i="1"/>
  <c r="D208" i="1"/>
  <c r="D207" i="1"/>
  <c r="D292" i="1"/>
  <c r="D265" i="1"/>
  <c r="D202" i="1"/>
  <c r="D228" i="1"/>
  <c r="D280" i="1"/>
  <c r="D707" i="1"/>
  <c r="D680" i="1"/>
  <c r="D776" i="1"/>
  <c r="D679" i="1"/>
  <c r="D692" i="1"/>
  <c r="D802" i="1"/>
  <c r="D783" i="1"/>
  <c r="D798" i="1"/>
  <c r="D740" i="1"/>
  <c r="D801" i="1"/>
  <c r="D203" i="1"/>
  <c r="D238" i="1"/>
  <c r="D282" i="1"/>
  <c r="D289" i="1"/>
  <c r="D296" i="1"/>
  <c r="D266" i="1"/>
  <c r="D204" i="1"/>
  <c r="D290" i="1"/>
  <c r="D295" i="1"/>
  <c r="D211" i="1"/>
  <c r="D222" i="1"/>
  <c r="D221" i="1"/>
  <c r="D552" i="1"/>
  <c r="D556" i="1"/>
  <c r="D561" i="1"/>
  <c r="D517" i="1"/>
  <c r="D518" i="1"/>
  <c r="D526" i="1"/>
  <c r="D540" i="1"/>
  <c r="D555" i="1"/>
  <c r="D560" i="1"/>
  <c r="D547" i="1"/>
  <c r="D1054" i="1"/>
  <c r="D1042" i="1"/>
  <c r="D1043" i="1"/>
  <c r="D1067" i="1"/>
  <c r="D1059" i="1"/>
  <c r="D1089" i="1"/>
  <c r="D1092" i="1"/>
  <c r="D1058" i="1"/>
  <c r="D1082" i="1"/>
  <c r="D1068" i="1"/>
  <c r="D565" i="1"/>
  <c r="D573" i="1"/>
  <c r="D584" i="1"/>
  <c r="D594" i="1"/>
  <c r="D598" i="1"/>
  <c r="D588" i="1"/>
  <c r="D564" i="1"/>
  <c r="D600" i="1"/>
  <c r="D591" i="1"/>
  <c r="D595" i="1"/>
  <c r="D930" i="1"/>
  <c r="D936" i="1"/>
  <c r="D949" i="1"/>
  <c r="D954" i="1"/>
  <c r="D960" i="1"/>
  <c r="D934" i="1"/>
  <c r="D946" i="1"/>
  <c r="D955" i="1"/>
  <c r="D945" i="1"/>
  <c r="D957" i="1"/>
  <c r="D948" i="1"/>
  <c r="D1041" i="1"/>
  <c r="D1060" i="1"/>
  <c r="D1088" i="1"/>
  <c r="D1061" i="1"/>
  <c r="D1091" i="1"/>
  <c r="D1073" i="1"/>
  <c r="D1045" i="1"/>
  <c r="D1093" i="1"/>
  <c r="D1050" i="1"/>
  <c r="D1063" i="1"/>
  <c r="D1075" i="1"/>
  <c r="D74" i="1"/>
  <c r="D93" i="1"/>
  <c r="D71" i="1"/>
  <c r="D67" i="1"/>
  <c r="D94" i="1"/>
  <c r="D700" i="1"/>
  <c r="D800" i="1"/>
  <c r="D780" i="1"/>
  <c r="D724" i="1"/>
  <c r="D764" i="1"/>
  <c r="D687" i="1"/>
  <c r="D799" i="1"/>
  <c r="D784" i="1"/>
  <c r="D678" i="1"/>
  <c r="D721" i="1"/>
  <c r="D308" i="1"/>
  <c r="D325" i="1"/>
  <c r="D369" i="1"/>
  <c r="D355" i="1"/>
  <c r="D370" i="1"/>
  <c r="D353" i="1"/>
  <c r="D300" i="1"/>
  <c r="D360" i="1"/>
  <c r="D344" i="1"/>
  <c r="D304" i="1"/>
  <c r="D102" i="1"/>
  <c r="D101" i="1"/>
  <c r="P26" i="25"/>
  <c r="D1204" i="1"/>
  <c r="D1252" i="1"/>
  <c r="D1246" i="1"/>
  <c r="D1213" i="1"/>
  <c r="D1200" i="1"/>
  <c r="D19" i="1"/>
  <c r="D26" i="1"/>
  <c r="D12" i="1"/>
  <c r="D30" i="1"/>
  <c r="D20" i="1"/>
  <c r="D15" i="1"/>
  <c r="D4" i="1"/>
  <c r="D29" i="1"/>
  <c r="D33" i="1"/>
  <c r="D34" i="1"/>
  <c r="D22" i="1"/>
  <c r="D31" i="1"/>
  <c r="D14" i="1"/>
  <c r="D3" i="1"/>
  <c r="D24" i="1"/>
  <c r="D7" i="1"/>
  <c r="D32" i="1"/>
  <c r="D13" i="1"/>
  <c r="D8" i="1"/>
  <c r="D16" i="1"/>
  <c r="D36" i="1"/>
  <c r="D37" i="1"/>
  <c r="D78" i="1"/>
  <c r="D82" i="1"/>
  <c r="D49" i="1"/>
  <c r="D51" i="1"/>
  <c r="D2" i="1"/>
  <c r="D85" i="1"/>
  <c r="D57" i="1"/>
  <c r="D70" i="1"/>
  <c r="D42" i="1"/>
  <c r="D38" i="1"/>
  <c r="D6" i="1"/>
  <c r="D5" i="1"/>
  <c r="P1258" i="1"/>
  <c r="P98" i="25"/>
  <c r="O141" i="25"/>
  <c r="P141" i="25" l="1"/>
  <c r="D1258" i="1"/>
</calcChain>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keepAlive="1" name="ThisWorkbookDataModel1"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name="WorksheetConnection_2016 Coal Database 10-28-2016.xlsx!approval" type="102" refreshedVersion="6" minRefreshableVersion="5">
    <extLst>
      <ext xmlns:x15="http://schemas.microsoft.com/office/spreadsheetml/2010/11/main" uri="{DE250136-89BD-433C-8126-D09CA5730AF9}">
        <x15:connection id="approval">
          <x15:rangePr sourceName="_xlcn.WorksheetConnection_2016CoalDatabase10282016.xlsxapproval"/>
        </x15:connection>
      </ext>
    </extLst>
  </connection>
  <connection id="4" name="WorksheetConnection_2016 Coal Database 10-28-2016.xlsx!CompletedProjects" type="102" refreshedVersion="6" minRefreshableVersion="5">
    <extLst>
      <ext xmlns:x15="http://schemas.microsoft.com/office/spreadsheetml/2010/11/main" uri="{DE250136-89BD-433C-8126-D09CA5730AF9}">
        <x15:connection id="CompletedProjects" autoDelete="1">
          <x15:rangePr sourceName="_xlcn.WorksheetConnection_2016CoalDatabase10282016.xlsxCompletedProjects"/>
        </x15:connection>
      </ext>
    </extLst>
  </connection>
  <connection id="5" name="WorksheetConnection_2016 Coal Database 10-28-2016.xlsx!countries" type="102" refreshedVersion="6" minRefreshableVersion="5">
    <extLst>
      <ext xmlns:x15="http://schemas.microsoft.com/office/spreadsheetml/2010/11/main" uri="{DE250136-89BD-433C-8126-D09CA5730AF9}">
        <x15:connection id="countries">
          <x15:rangePr sourceName="_xlcn.WorksheetConnection_2016CoalDatabase10282016.xlsxcountries"/>
        </x15:connection>
      </ext>
    </extLst>
  </connection>
  <connection id="6" name="WorksheetConnection_2016 Coal Database 10-28-2016.xlsx!Pending" type="102" refreshedVersion="6" minRefreshableVersion="5">
    <extLst>
      <ext xmlns:x15="http://schemas.microsoft.com/office/spreadsheetml/2010/11/main" uri="{DE250136-89BD-433C-8126-D09CA5730AF9}">
        <x15:connection id="Pending">
          <x15:rangePr sourceName="_xlcn.WorksheetConnection_2016CoalDatabase10282016.xlsxPending"/>
        </x15:connection>
      </ext>
    </extLst>
  </connection>
</connections>
</file>

<file path=xl/sharedStrings.xml><?xml version="1.0" encoding="utf-8"?>
<sst xmlns="http://schemas.openxmlformats.org/spreadsheetml/2006/main" count="15856" uniqueCount="1777">
  <si>
    <t>Institution</t>
    <phoneticPr fontId="0" type="noConversion"/>
  </si>
  <si>
    <t>Amount (in USD)</t>
    <phoneticPr fontId="0" type="noConversion"/>
  </si>
  <si>
    <t>Project Sponsor</t>
    <phoneticPr fontId="0" type="noConversion"/>
  </si>
  <si>
    <t>Project</t>
    <phoneticPr fontId="0" type="noConversion"/>
  </si>
  <si>
    <t>Country</t>
  </si>
  <si>
    <t>Sector</t>
    <phoneticPr fontId="0" type="noConversion"/>
  </si>
  <si>
    <t>Approval Date</t>
    <phoneticPr fontId="0" type="noConversion"/>
  </si>
  <si>
    <t>Notes</t>
    <phoneticPr fontId="0" type="noConversion"/>
  </si>
  <si>
    <t>Export Development Canada (EDC)</t>
  </si>
  <si>
    <t>Newcastle Coal Infrastructure Group Pty Ltd.</t>
  </si>
  <si>
    <t>Newcastle Coal Infrastructure Group Coal Export Terminal Expansion</t>
  </si>
  <si>
    <t>Australia</t>
  </si>
  <si>
    <t>OECD data on export credit support for fossil fuel power plants and fossil fuel extraction projects, 9 October 2014</t>
  </si>
  <si>
    <t>Wiggins Island Coal Export Terminal Pty Ltd</t>
  </si>
  <si>
    <t>Wiggins Island Coal Export Terminal</t>
  </si>
  <si>
    <t>ConocoPhillips, Origin Energy and Sinopec​</t>
    <phoneticPr fontId="0" type="noConversion"/>
  </si>
  <si>
    <t>Australia Pacific LNG Project​ (from a coal seam)</t>
  </si>
  <si>
    <t>Hindalco Industries Limited​​</t>
    <phoneticPr fontId="0" type="noConversion"/>
  </si>
  <si>
    <t>Mahan Aluminum Smelter​</t>
  </si>
  <si>
    <t>India</t>
    <phoneticPr fontId="0" type="noConversion"/>
  </si>
  <si>
    <t>Canada</t>
  </si>
  <si>
    <t>Recipient</t>
  </si>
  <si>
    <t>Compagnie Francaise d'Assurance pour le Commerce Exterieur (COFACE)</t>
    <phoneticPr fontId="0" type="noConversion"/>
  </si>
  <si>
    <t>Alstom Power Systems SA</t>
  </si>
  <si>
    <t>Medupi coal-fired power plant</t>
    <phoneticPr fontId="0" type="noConversion"/>
  </si>
  <si>
    <t>South Africa</t>
  </si>
  <si>
    <t>Coal Power Plant - New</t>
  </si>
  <si>
    <t>Compagnie Francaise d'Assurance pour le Commerce Exterieur (COFACE)</t>
  </si>
  <si>
    <t>Medupi coal-fired power plant</t>
  </si>
  <si>
    <t>This final loan was made sometime between July and September 2011. We have documented it as August to fall in the middle of that range and used the currency conversion rate for August 15.</t>
    <phoneticPr fontId="0" type="noConversion"/>
  </si>
  <si>
    <t>Kusile coal-fired power plant - design, manufacture, delivery and installation of six subsets of the turbine</t>
  </si>
  <si>
    <t>Kusile coal-fired power plant, guarantee to cover a loan used for the control and instrumentation contract supplied by Alstom</t>
  </si>
  <si>
    <t>This final loan was made sometime between April and June 2013. We have documented it as May to fall in the middle of that range and used the currency conversion rate for May 15.</t>
    <phoneticPr fontId="0" type="noConversion"/>
  </si>
  <si>
    <t>France</t>
  </si>
  <si>
    <t>Euler Hermes</t>
  </si>
  <si>
    <t>Not identified</t>
  </si>
  <si>
    <t>Turkey</t>
  </si>
  <si>
    <t>TAKRAF GmbH</t>
  </si>
  <si>
    <t>Overburden conveying system for an open pit coal mine</t>
  </si>
  <si>
    <t>Kazakhstan</t>
  </si>
  <si>
    <t>Coal Mining</t>
  </si>
  <si>
    <t>Eskom</t>
  </si>
  <si>
    <t>Medupi Coal Fired Power Station</t>
  </si>
  <si>
    <t>ThyssenKrupp Fördertechnik GmbH</t>
  </si>
  <si>
    <t>Supply of a coal handling system</t>
  </si>
  <si>
    <t>Russia</t>
  </si>
  <si>
    <t>The German website cited lists this as a "category 2" project which is defined as projects receiving "up to 50 million euro in cover". Conservatively we have included this as 15 million euros even though it could be up to 50 million since the lower category -- category 1 is for "up to 15 million euros). We converted to USD using the rate at the end of December since no exact date has been provided.</t>
  </si>
  <si>
    <t>Hitachi Power Europe</t>
  </si>
  <si>
    <t>Medupi coal fired power </t>
  </si>
  <si>
    <t>Bucyrus DBT Europe GmbH</t>
  </si>
  <si>
    <t>Longwall systems for underground coal mining</t>
  </si>
  <si>
    <t>The Netherlands</t>
  </si>
  <si>
    <t>The German website cited lists this as a "category 4" project which is defined as projects receiving "up to 200 million euro in cover". Conservatively we have included this as 100 million euros even though it could be up to 200 million since the lower category -- category 3 is for "up to 100 million euros"). We converted to USD using the rate at the end of September since no exact date has been provided.</t>
  </si>
  <si>
    <t>Kusile Coal-Power Plant</t>
  </si>
  <si>
    <t>Hitachi Power Europe GmbH</t>
  </si>
  <si>
    <t>Measures to boost the efficiency of a coal-fired power plant</t>
  </si>
  <si>
    <t>Serbia</t>
  </si>
  <si>
    <t>The German website cited lists this as a "category 2" project which is defined as projects receiving "up to 50 million euro in cover". Conservatively we have included this as 15 million euros even though it could be up to 50 million since the lower category -- category 1 is for "up to 15 million euros). We converted to USD using the rate at the end of February since no exact date has been provided.</t>
  </si>
  <si>
    <t>Bucyrus Europe GmbH</t>
  </si>
  <si>
    <t>The German website cited lists this as a "category 2" project which is defined as projects receiving "up to 50 million euro in cover". Conservatively we have included this as 15 million euros even though it could be up to 50 million since the lower category -- category 1 is for "up to 15 million euros). We converted to USD using the rate at the end of November since no exact date has been provided.</t>
  </si>
  <si>
    <t>Longwall system for underground mining and coal processing plant with transportation system</t>
  </si>
  <si>
    <t xml:space="preserve">National Petroleum Corporation </t>
  </si>
  <si>
    <t>Vung Ang 1</t>
  </si>
  <si>
    <t>Vietnam</t>
  </si>
  <si>
    <t>Barh Super Thermal Power Station (Stage II) (supercritical)</t>
  </si>
  <si>
    <t>India</t>
  </si>
  <si>
    <t>Küttner GmbH &amp; Co.</t>
  </si>
  <si>
    <t>Orot Rabin Power Plant Retrofit</t>
  </si>
  <si>
    <t>ThyssenKrupp Resource Technologies AG</t>
  </si>
  <si>
    <t>Plants for the mining of coal</t>
  </si>
  <si>
    <t>Greece</t>
  </si>
  <si>
    <t>"A German Exporter"</t>
  </si>
  <si>
    <t>Mining of Coal</t>
  </si>
  <si>
    <t>Coke oven</t>
  </si>
  <si>
    <t>Coal - Processing</t>
    <phoneticPr fontId="0" type="noConversion"/>
  </si>
  <si>
    <t>Germany</t>
  </si>
  <si>
    <t>Servizi Assicurativi del Commercio Estero (SACE)</t>
  </si>
  <si>
    <t>Petacalco Power Station: ashes extraction and transportation system relating to the boilers</t>
  </si>
  <si>
    <t>Mexico</t>
  </si>
  <si>
    <t>Other</t>
  </si>
  <si>
    <t>Saipem</t>
  </si>
  <si>
    <t>Gladstone LNG project (from coal seam)</t>
  </si>
  <si>
    <t xml:space="preserve">In response to NRDC inquiry, SACE staff highlighted that this exact project is for methane capture from a coal seam. They point out that this isn't for a coal mining operation. However, we have chosen to list it as there is active coal mining in the basin where this project is occuring and we have no way to guarantee that this investment isn't directly or indirectly supporting that mining (e.g., by making the mining more financially attractive, etc.). We have not included this $280,000,000 in financing in the totals. </t>
  </si>
  <si>
    <t>Coeclerici Group</t>
  </si>
  <si>
    <t>Floating Transfer Stations for Transshipping Coal from East Kalimantan Mines</t>
  </si>
  <si>
    <t>Indonesia</t>
  </si>
  <si>
    <t>Italy</t>
  </si>
  <si>
    <t>Japan Bank for International Cooperation (JBIC)</t>
  </si>
  <si>
    <t>PT Pamapersada Nusantara (PAMA)</t>
  </si>
  <si>
    <t>Buyer's Credit for Coal Mining Company for purchasing coal mining equipment from Komatsu</t>
  </si>
  <si>
    <t>Co-financed with Australia and New Zealand Banking Group Limited, Tokyo Branch (agent bank) and Mizuho Corporate Bank, Ltd.; JBIC financed amount maybe smaller</t>
    <phoneticPr fontId="0" type="noConversion"/>
  </si>
  <si>
    <t>Vietnam Electricity (EVN)</t>
  </si>
  <si>
    <t>Hai Phong Thermal Power Plant</t>
  </si>
  <si>
    <t>CrimsonPower Holdings</t>
  </si>
  <si>
    <t>Portfolio Acquisition of Existing Coal-fired Power Plants</t>
    <phoneticPr fontId="0" type="noConversion"/>
  </si>
  <si>
    <t>Philippines</t>
  </si>
  <si>
    <t xml:space="preserve">NTPC Limited </t>
  </si>
  <si>
    <t>Northern Grid Transmission Projects</t>
  </si>
  <si>
    <t>JBIC co-financed and provided a guarantee for remainder.</t>
    <phoneticPr fontId="0" type="noConversion"/>
  </si>
  <si>
    <t>P.T. Central Java Power (Sumitomo Corporation has ownership interests)</t>
  </si>
  <si>
    <t>Tanjung Jati B</t>
  </si>
  <si>
    <t>L&amp;T-MHI Boilers Private Ltd. &amp; L&amp;T-MHI Turbine Generators Private Ltd.</t>
  </si>
  <si>
    <t>Loans for the Manufacturing and Sales of Thermal Power Generation Facilities</t>
    <phoneticPr fontId="0" type="noConversion"/>
  </si>
  <si>
    <t>Toshiba JSW Turbine &amp; Generator Ltd.</t>
  </si>
  <si>
    <t>Loan for Manufacturing and Sales of Thermal Power Generation Facilities</t>
  </si>
  <si>
    <t>Japan-CFE 2010/11 line of credit involving coal-fired plant</t>
  </si>
  <si>
    <t>Co-financed with The Bank of Tokyo-Mitsubishi UFJ, Ltd.; JBIC financed amount maybe smaller</t>
    <phoneticPr fontId="0" type="noConversion"/>
  </si>
  <si>
    <t>P.T. Cirebon Electric Power (Marubeni Corporation has equity stakes)</t>
  </si>
  <si>
    <t>Cirebon Thermal Power Plant Project</t>
  </si>
  <si>
    <t>JBIC-financed loan is 215,934,223 - but JBIC and K-Exim provided political risk guarantee for remaining total, so total amount financed by JBIC may be higher.</t>
    <phoneticPr fontId="0" type="noConversion"/>
  </si>
  <si>
    <t>PT Paiton Energy (Mitsui and Tokyo Electric Power Company have equity stakes)</t>
  </si>
  <si>
    <t>Paiton 3 Thermal Power Plant Expansion Project</t>
  </si>
  <si>
    <t>Mitsubishi</t>
  </si>
  <si>
    <t>Pacifico Coal Power Plant</t>
  </si>
  <si>
    <t>Vietnam National Coal and Mineral Industries Group</t>
  </si>
  <si>
    <t>Vietnam Coal Mine Investment</t>
  </si>
  <si>
    <t>Co-financed with Sumitomo Mitsui Banking Corporation; JBIC financed amount may be smaller</t>
    <phoneticPr fontId="0" type="noConversion"/>
  </si>
  <si>
    <t>JAIPRAKASH POWER VENTURES LTD</t>
    <phoneticPr fontId="0" type="noConversion"/>
  </si>
  <si>
    <t>Jaypee Nigrie Super Thermal Power Project</t>
  </si>
  <si>
    <t>Sojitz Coal Resources Pty Ltd</t>
  </si>
  <si>
    <t>Vietnam Oil and Gas Group</t>
  </si>
  <si>
    <t>Mitsubishi Heavy Industries</t>
  </si>
  <si>
    <t>Japan-CFE unidentified supply to existing caol-fired power plant</t>
  </si>
  <si>
    <t>Mitsui Kestrel Coal Investment Pty Ltd</t>
  </si>
  <si>
    <t>Kestrel Coal Mine Development</t>
  </si>
  <si>
    <t>ITOCHU Coal Americas Inc.</t>
  </si>
  <si>
    <t>Acquiring Interest in Colombia's Coal Mines</t>
  </si>
  <si>
    <t>Colombia</t>
  </si>
  <si>
    <t>Marubeni Corporation</t>
  </si>
  <si>
    <t>Grande Cache Coal Mine</t>
  </si>
  <si>
    <t>Tokyo branches of BNP Paribas Bank (leading agent), Standard Chartered Bank and Societe Generale Bank</t>
  </si>
  <si>
    <t>Jorf Lasfar Energy Company 5 &amp; 6 Coal Power Plant</t>
  </si>
  <si>
    <t>Morocco</t>
  </si>
  <si>
    <t>JFE Holdings, Inc</t>
  </si>
  <si>
    <t>Byerwen Coal Project</t>
  </si>
  <si>
    <t>JX Nippon Oil &amp; Energy Corporation</t>
  </si>
  <si>
    <t>Peace River Coal field</t>
  </si>
  <si>
    <t>Sumisho Coal Australia (an Australian subsidiary of Sumitomo Corporation)</t>
  </si>
  <si>
    <t>Isaac Plains Coal Mine</t>
  </si>
  <si>
    <t>MC Finance Australia Pty Ltd (Subsidary of Mitsubishi Corporation)</t>
  </si>
  <si>
    <t>Caval Ridge Coal Mine Development Project</t>
  </si>
  <si>
    <t>Australia</t>
    <phoneticPr fontId="0" type="noConversion"/>
  </si>
  <si>
    <t>Empresa Electrica Cochrane SpA (a subsidiary of Mitsubishi Corporation)</t>
  </si>
  <si>
    <t>Cochrane Coal-Fired Power Project</t>
  </si>
  <si>
    <t>Chile</t>
  </si>
  <si>
    <t>Idemitsu Australia Resources Pty Ltd</t>
  </si>
  <si>
    <t>Boggabri Coal Mine Expansion Project</t>
  </si>
  <si>
    <t>Sojitz Corporation</t>
  </si>
  <si>
    <t>Thai Binh 2</t>
  </si>
  <si>
    <t>Toshiba</t>
  </si>
  <si>
    <t>Kudgi Super Thermal Power Project</t>
  </si>
  <si>
    <t>Vietnam Electricity (EVN)</t>
    <phoneticPr fontId="0" type="noConversion"/>
  </si>
  <si>
    <t>Binh Thuan Supercritical Coal-fired Power Plant</t>
  </si>
  <si>
    <t>Vietnam</t>
    <phoneticPr fontId="0" type="noConversion"/>
  </si>
  <si>
    <t>State Bank of India</t>
    <phoneticPr fontId="0" type="noConversion"/>
  </si>
  <si>
    <t>Meja Urja Nigam Private Limited (MUNPL)</t>
    <phoneticPr fontId="0" type="noConversion"/>
  </si>
  <si>
    <t>Safi Energy Company S.A. AND Nareva Holding S.A. (Nareva)</t>
    <phoneticPr fontId="0" type="noConversion"/>
  </si>
  <si>
    <t>Safi Coal Fired Power Generation Project</t>
    <phoneticPr fontId="0" type="noConversion"/>
  </si>
  <si>
    <t>Morocco</t>
    <phoneticPr fontId="0" type="noConversion"/>
  </si>
  <si>
    <t>Duyen Hai Plant</t>
  </si>
  <si>
    <t>Japan</t>
  </si>
  <si>
    <t>Nippon Export and Investment Insurance (NEXI)</t>
  </si>
  <si>
    <t>Buyer’s Credit Insurance related to Power-generating Equipment Export to Eskom</t>
  </si>
  <si>
    <t>PT. Pamapersada Nusantara</t>
  </si>
  <si>
    <t>Indonesia/Buyer's Credit Insurance related to Mining Equipment Export Project</t>
  </si>
  <si>
    <t>Hai Phong 2 Coal Fired Power Plant</t>
  </si>
  <si>
    <t>Sumitomo</t>
  </si>
  <si>
    <t>Tanjung Jati B Power Plant</t>
  </si>
  <si>
    <t>Nabha Power Limited</t>
  </si>
  <si>
    <t xml:space="preserve"> 4.2 billion JPY</t>
  </si>
  <si>
    <t>BNP Paribas Tokyo Branch, Standard Chartered Bank Tokyo Branch, and Societe Generale Tokyo Branch</t>
  </si>
  <si>
    <t>Jorf Lasfar Coal-fired Power Plant</t>
  </si>
  <si>
    <t>Open Joint Stock Company Siberian Coal Energy Company</t>
  </si>
  <si>
    <t>Russia/SUEK Coal Mine and Port Expansion Project</t>
  </si>
  <si>
    <t xml:space="preserve">Acquiring Coal Interest Project </t>
  </si>
  <si>
    <t>Mitsubishi Corporation</t>
  </si>
  <si>
    <t>Cochrane Coal-fired Power Project</t>
  </si>
  <si>
    <t>The Bank of Tokyo-Mitsubishi UFJ, Ltd. (BTMU; lead arranger), Mizuho Bank, Ltd. (MHBK) and Citibank Japan Ltd. (Citi)</t>
  </si>
  <si>
    <t>Sumitomo Mitsui Banking Corporation</t>
  </si>
  <si>
    <t>The Bank of Tokyo-Mitsubishi UFJ, Ltd</t>
  </si>
  <si>
    <t>Meja Supercritical Coal-fired Power Plant</t>
  </si>
  <si>
    <t>The Bank of Tokyo-Mitsubishi UFJ, Ltd., Sumitomo Mitsui Banking Corporation, The Mizuho Bank Ltd., Sumitomo Mitsui Trust Bank, Limited, and Islamic Development Bank</t>
  </si>
  <si>
    <t>Safi Ultra Supercritical Coal-fired Power Plant</t>
  </si>
  <si>
    <t>Coal mine size: 30-40 Mtpa,  696 million USD+241 million USD</t>
  </si>
  <si>
    <t>UK Export Finance (UKEF)</t>
  </si>
  <si>
    <t>Joy Mining Ltd</t>
  </si>
  <si>
    <t>Siberian Coal &amp; Energy Co</t>
  </si>
  <si>
    <t>Southern Kuzbass Coal Co OAO</t>
  </si>
  <si>
    <t>Based upon the date of the Independent article since UKEF doesn't announce the dates of individual deals. Was reported in UKEF's annual report for 2011-2012.</t>
  </si>
  <si>
    <t>Siberian Coal &amp; Energy Co mining equipment for Sibirginskaya and Olzeraskaya coal mines</t>
  </si>
  <si>
    <t>United Kingdom</t>
  </si>
  <si>
    <t>Export-Import Bank - US</t>
  </si>
  <si>
    <t>Xcoal Energy &amp; Resources LLC</t>
  </si>
  <si>
    <t>Ore &amp; Mineral Mining and Sales</t>
  </si>
  <si>
    <t>Kusile Power Plant</t>
  </si>
  <si>
    <t>Australia Pacific</t>
  </si>
  <si>
    <t>Australia Pacific LNG from coal mines</t>
  </si>
  <si>
    <t>Queensland Curtis Island LNG project from coal mine</t>
  </si>
  <si>
    <t>Coal Mining - LNG from coal seam</t>
  </si>
  <si>
    <t>Oyu Tolgoi LLC</t>
  </si>
  <si>
    <t>Oyu Tolgoi gold and copper mine (w/ coal power plant)</t>
  </si>
  <si>
    <t>Mongolia</t>
  </si>
  <si>
    <t>Zao Sberbank Leasing</t>
  </si>
  <si>
    <t>Yakutugol coal mine -Electric Mining Shovel</t>
  </si>
  <si>
    <t>ICICI Bank -Equipment and Services for Coal-Mining Project</t>
  </si>
  <si>
    <t>EQSTRA HOLDINGS (PTY) LTD</t>
  </si>
  <si>
    <t>OJSC VTB LEASING</t>
  </si>
  <si>
    <t>BG Group (UK)</t>
  </si>
  <si>
    <t>United States</t>
  </si>
  <si>
    <t>Kreditanstalt für Wiederaufbau (KfW IPEX)</t>
  </si>
  <si>
    <t>Lanco Group</t>
  </si>
  <si>
    <t>Pathadi Coal-fired Power Plant</t>
  </si>
  <si>
    <t>Kreditanstalt für Wiederaufbau (KfW)</t>
  </si>
  <si>
    <t>Steag GmbH and EVN Ag</t>
  </si>
  <si>
    <t>Coal-Fired Power Plant</t>
  </si>
  <si>
    <t>Macedonia Electricity Producer (ELEM)</t>
  </si>
  <si>
    <t>Brod Gneotino Lignite Mine</t>
  </si>
  <si>
    <t>Macedonia</t>
  </si>
  <si>
    <t>APGenco</t>
  </si>
  <si>
    <t>Krishnapatnam Power Plant</t>
  </si>
  <si>
    <t xml:space="preserve">GHECO-One Co., Ltd. </t>
  </si>
  <si>
    <t>Thailand</t>
  </si>
  <si>
    <t>USD 460 million and THB 9,960 million.</t>
  </si>
  <si>
    <t>The Israel Electric Corporation LTD</t>
  </si>
  <si>
    <t>Israel</t>
  </si>
  <si>
    <t>Nikola Tesla A Power Plant</t>
  </si>
  <si>
    <t>Siemens and Bosch Rexroth</t>
  </si>
  <si>
    <t>Newcastle Coal Harbor</t>
  </si>
  <si>
    <t>Response to Parlamentarien Question, 2012</t>
  </si>
  <si>
    <t>Wiggins Island Coal Harbor</t>
  </si>
  <si>
    <t>National Thermal Power Corporation</t>
  </si>
  <si>
    <t>Bihar Coal-Fired Power Plant Expansion</t>
  </si>
  <si>
    <t>Electric Power Industry of Serbia </t>
  </si>
  <si>
    <t>Efficient Coal Quality Management in MB Kolubara</t>
  </si>
  <si>
    <t>65 million europ loan plus a reported 9 million euro grant.</t>
  </si>
  <si>
    <t>Israel Electric Corporation LTD (IEC)</t>
  </si>
  <si>
    <t>Renovation &amp; Retrofitting of Electro Static Precipitators</t>
  </si>
  <si>
    <t>Mouda Thermal Power Plant in Maharashtra</t>
  </si>
  <si>
    <t>Construction of a new district heating system in Linxia</t>
  </si>
  <si>
    <t>China</t>
  </si>
  <si>
    <t>Coal-fired district heating</t>
  </si>
  <si>
    <t xml:space="preserve">Modernisation of a district heating system in Jinzhong </t>
  </si>
  <si>
    <t>Energy Sector Programme III (district heating)</t>
  </si>
  <si>
    <t>Kosovo</t>
  </si>
  <si>
    <t>Coal Power Plant Emissions Control</t>
  </si>
  <si>
    <t>IPEX press release 2008 250 Mill EUR; Profundo research US$ 342 million.</t>
  </si>
  <si>
    <t>The Hitachi press statement states that the project is 36 million euros , financed in large part by the KfW Development Bank. Since KfW doesn't disclose all projects, we have assumed the total amount of this stated project towards KfW.</t>
  </si>
  <si>
    <t>Coal - Transport</t>
  </si>
  <si>
    <t>Coal Power Plant - Expansion</t>
  </si>
  <si>
    <t>The project is a 911MW expansion of the Grosskraftwerk Mannheim, or GKM, which will raise the capacity of the plant - located on the Rhine in Mannheim - to 2,586MW.</t>
  </si>
  <si>
    <t>Himadri Chemicals &amp; Industries Ltd</t>
  </si>
  <si>
    <t>Modernisation of Israeli coal-fired power plants</t>
  </si>
  <si>
    <t>https://www.kfw-ipex-bank.de/International-financing/KfW-IPEX-Bank/Presse/Pressemitteilungen/Pressemitteilungsdetails_125760.html</t>
  </si>
  <si>
    <t>KfW response to Parliament says that through Oct. 31, 2013 they invested 185,023940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currency rate as of Oct. 31, 2013. As of October 31, 2013.</t>
  </si>
  <si>
    <t>Coal - Processing</t>
  </si>
  <si>
    <t>The AGA website lists KfW as a project financier.</t>
  </si>
  <si>
    <t>Japan International Cooperation Agency (JICA)</t>
  </si>
  <si>
    <t>Java-Sumatra Interconnection Transmission Line Project (1)</t>
  </si>
  <si>
    <t>The Flue Gas Desulphurization Construction Project for Thermal Power Plant Nikola Tesla</t>
  </si>
  <si>
    <t>PT PLN (Persero)</t>
  </si>
  <si>
    <t>Indramayu Coal Fired Power Plant Project</t>
  </si>
  <si>
    <t>Matarbari Ultra Super Critical Coal-Fired Power Project</t>
  </si>
  <si>
    <t> ultra-super critical technology</t>
  </si>
  <si>
    <t>Government of Vietnam</t>
  </si>
  <si>
    <t>Government of Bosnia and Herzegovina</t>
  </si>
  <si>
    <t>Bosnia and Herzegovina</t>
  </si>
  <si>
    <t>Government of Indonesia</t>
  </si>
  <si>
    <t>Also, under the Nghi Son Thermal Power Plant Construction Project (II), a new coal-fired power station and related facilities will be built in Thanh Hoa Province in northern Vietnam to resolve the intractable imbalance in power supply and demand in Vietnam, in order to support economic growth and strengthen the ability to compete internationally.</t>
  </si>
  <si>
    <t>Specific improvement items include establishing an PT. SMI (infrastructure financing company) and IIGF (Indonesia Infrastructure Guarantee Fund), and opening tendering of PPP projects such as the Central Jawa Coal Fired Power Plant Project, which is planned to adopt coal-fired power generation technology that provides high efficiency.</t>
  </si>
  <si>
    <t>Government of Serbia</t>
  </si>
  <si>
    <t>Government of Mongolia</t>
  </si>
  <si>
    <t>(iii) Tender announcement of initial procurement package for international competitive bidding on project construction:
Procurement package titles: Installation of Turbine Governor and Distributed Control System, Installation of Boiler Soot Blower and Mill Roller of Pulverized Coal Firing Equipment</t>
  </si>
  <si>
    <t>Government of Bangladesh</t>
  </si>
  <si>
    <t>Bangladesh</t>
  </si>
  <si>
    <t>Row Labels</t>
  </si>
  <si>
    <t>Grand Total</t>
  </si>
  <si>
    <t>Sum of Amount (in USD)</t>
  </si>
  <si>
    <t>Coal Power Plant - Existing</t>
  </si>
  <si>
    <t>Coal Mining - shipping to support export</t>
  </si>
  <si>
    <t>PENDING avg exchange rate for 2014 1.329</t>
  </si>
  <si>
    <t>8/7/2004; refinanced in 2008 **The German bank (KfW) provided a loan of Rs. 1,871 crores for the project. 2x800 MW Sri Damodaram Sanjeevaiah Thermal Power Plant. The loan agreement was signed in December 2004. In December 2008, the financing of the supercritical power plant was agreed in a contract modification to the loan agreement of 2008 (Source parlamentarian question 2011).</t>
  </si>
  <si>
    <t>Column Labels</t>
  </si>
  <si>
    <t>Approval Date</t>
  </si>
  <si>
    <t>Coal Power Plant</t>
  </si>
  <si>
    <t>Other/Unspecified</t>
  </si>
  <si>
    <t>Loan agreement with two facilities amounting up to approximately 155 million U.S. dollars, (JBIC portion) and  approximately 55 million U.S. dollars (JBIC portion), respectively with the NTPC Limited ("NTPC")</t>
  </si>
  <si>
    <t>https://www.iec.co.il/Suppliers/Lists/IecTendersEn/Attachments/111/RFI%20document%20-%20OR14-0002.pdf</t>
  </si>
  <si>
    <t>http://www.sourcewatch.org/index.php/Safi_power_station Loan agreements, in project financing, totaling up to approximately USD718 million and EUR147 million (JBIC portions) - Ultra Super Critical Coal-fired Power Plant</t>
  </si>
  <si>
    <t>The 660-MW Unit 3 achieved commercial operation on Oct. 13, 2011, and the 660-MW Unit 4 started operating on Jan. 1, 2012. Neville A. Tanjung Jati B Electric Generating Station's Expansion Project Central Java Province, Republic of Indonesia. Power [serial online]. October 2012;156(10):42-44. Available from: Business Source Complete, Ipswich, MA. Accessed August 17, 2015.</t>
  </si>
  <si>
    <t>Unit 6: 2015; Unit 5: 2016; Units 1-4: 2017-2021. This final loan was made sometime between April and June 2011. We have documented it as May to fall in the middle of that range and used the currency conversion rate for May 15.</t>
  </si>
  <si>
    <t>http://www.sourcewatch.org/index.php/Medupi_Power_Station</t>
  </si>
  <si>
    <t>http://bankwatch.org/sites/default/files/BlackCloudsLooming-TurkeyCoal.pdf</t>
  </si>
  <si>
    <t>2014 (Vũng Áng-1 Unit 1); 2015 (Vũng Áng-1 Unit 2); http://www.sourcewatch.org/index.php/Vung_Ang_power_station  The German website cited lists this as a "category 2" project which is defined as projects receiving "up to 50 million euro in cover". Conservatively we have included this as 15 million euros even though it could be up to 50 million since the lower category -- category 1 is for "up to 15 million euros). We converted to USD using the rate at the end of October since no exact date has been provided.</t>
  </si>
  <si>
    <t xml:space="preserve">JBIC release doesn't mention the exact plant that is supported, but this plant is located in the reported location. </t>
  </si>
  <si>
    <t>http://www.power-technology.com/projects/barh-coal/</t>
  </si>
  <si>
    <t>COAL MINING SERVICES - MINING EQUIPMENT</t>
    <phoneticPr fontId="27" type="noConversion"/>
  </si>
  <si>
    <t>ICICI Bank -Equipment and Services for Coal-Mining Project</t>
    <phoneticPr fontId="27" type="noConversion"/>
  </si>
  <si>
    <t>CHERNIGOVETS SURFACE COAL MINES - Electric Shovel</t>
    <phoneticPr fontId="27" type="noConversion"/>
  </si>
  <si>
    <t>Nghi Son Thermal Power Plant (I)</t>
    <phoneticPr fontId="27" type="noConversion"/>
  </si>
  <si>
    <t>Nghi Son Thermal Power Plant Construction Project (II)</t>
    <phoneticPr fontId="27" type="noConversion"/>
  </si>
  <si>
    <t>Nghi Son Thermal Power Plant Construction Project (III)</t>
    <phoneticPr fontId="27" type="noConversion"/>
  </si>
  <si>
    <t>Policy Reform to Promote Infrastructure Investment (partial)</t>
    <phoneticPr fontId="27" type="noConversion"/>
  </si>
  <si>
    <t>Modernisation of Six Israeli Coal-fired Power Plants w/ flue gas denitrification</t>
  </si>
  <si>
    <t>Glow Suez Power Plant</t>
  </si>
  <si>
    <t>Angamos</t>
    <phoneticPr fontId="27" type="noConversion"/>
  </si>
  <si>
    <t>Eren Enerji</t>
    <phoneticPr fontId="27" type="noConversion"/>
  </si>
  <si>
    <t>Dalrymple Bay Coal Terminal</t>
    <phoneticPr fontId="27" type="noConversion"/>
  </si>
  <si>
    <t>Mannheim Block 9 CHP Coal-Fired Expansion</t>
    <phoneticPr fontId="27" type="noConversion"/>
  </si>
  <si>
    <t>Mahistriky Carbon and Coal Tar Processing Plant</t>
    <phoneticPr fontId="27" type="noConversion"/>
  </si>
  <si>
    <t>Annual Emissions (MMTCO2)</t>
  </si>
  <si>
    <t>Lifetime Emissions (MMTCO2)</t>
  </si>
  <si>
    <t xml:space="preserve">Punta Catalina
Implementation of a 752
MW (376 MW x 2 unit)
coal-fired thermal power
plant
</t>
  </si>
  <si>
    <t>Dominican Republic</t>
  </si>
  <si>
    <t>http://www.sace.it/docs/default-source/report-ambiente/op-2015_eng.pdf?sfvrsn=4</t>
  </si>
  <si>
    <t>Sangatta Surface Coal Mine in Indonesia</t>
  </si>
  <si>
    <t>http://www.exim.gov/learning-resources/key-industries</t>
  </si>
  <si>
    <t>MHPS</t>
  </si>
  <si>
    <t>Mitsui Co, Chubu EP, Toshiba</t>
  </si>
  <si>
    <t>Malaysia</t>
  </si>
  <si>
    <t>http://www.mhps.com/news/20150304.html</t>
  </si>
  <si>
    <r>
      <t xml:space="preserve">Coal Mine Size </t>
    </r>
    <r>
      <rPr>
        <sz val="11"/>
        <color theme="0"/>
        <rFont val="Calibri"/>
        <family val="2"/>
        <scheme val="minor"/>
      </rPr>
      <t>(Mtpa)</t>
    </r>
  </si>
  <si>
    <t>Sector</t>
  </si>
  <si>
    <t>http://www.sourcewatch.org/index.php/Estimating_carbon_dioxide_emissions_from_coal_plants</t>
  </si>
  <si>
    <t>The database aims to include information on all public finance that supports coal. For most projects, this classification was straightforward as the finance went directly toward a coal plant or mine. In some cases the projects indirectly supported coal power plants or coal mines. Projects were included if they could be reasonably shown to support the coal industry.</t>
    <phoneticPr fontId="27" type="noConversion"/>
  </si>
  <si>
    <t xml:space="preserve">Coal projects are classified into one of several sectors and amounts are tallied in each sheet based on the sector category: </t>
  </si>
  <si>
    <t xml:space="preserve">Coal project data for the Development Banks is based on data from Oil Change International’s Shift the Subsidies database, available online at: www.ShiftTheSubsidies.org. </t>
  </si>
  <si>
    <t>Emission Calculations</t>
  </si>
  <si>
    <t>Information from Institutions</t>
  </si>
  <si>
    <t>This is the country where the financing institution is located.</t>
  </si>
  <si>
    <t>Power Plant Size</t>
  </si>
  <si>
    <t>Notes</t>
  </si>
  <si>
    <t>Development Banks</t>
  </si>
  <si>
    <t>Export Credit Agencies and Other Public Finance</t>
  </si>
  <si>
    <t>KfW</t>
  </si>
  <si>
    <t>Amount (in USD)</t>
  </si>
  <si>
    <t>Type</t>
  </si>
  <si>
    <t>Export Credit Agency</t>
  </si>
  <si>
    <t>Other Public Financer</t>
  </si>
  <si>
    <t>JBIC</t>
  </si>
  <si>
    <t>(All)</t>
  </si>
  <si>
    <t>Hermes</t>
  </si>
  <si>
    <t>Nexi</t>
  </si>
  <si>
    <t>JICA</t>
  </si>
  <si>
    <t>SACE</t>
  </si>
  <si>
    <t>EDC</t>
  </si>
  <si>
    <t>Multi-Stakeholder</t>
  </si>
  <si>
    <t>472 MW plant in total. Shared between JBIC &amp; NEXI</t>
  </si>
  <si>
    <t>700 MW plant shared by JIBC, NEXI, and KEXIM (non G-7, still part of OECD data)</t>
  </si>
  <si>
    <t>1386 MW plant shared by JBIC and NEXI</t>
  </si>
  <si>
    <t>4800 MW plant. 3 banks: COFACE, Hermes, and Ex-Im. The MW is divided between the three banks. The spending by COFACE was made up of two payments. The third of the MW was divided by two for each of COFACE's payments</t>
  </si>
  <si>
    <t>160 MW plant shared by Hemes, EXIM SR, and EKM</t>
  </si>
  <si>
    <t>1200 MW plant. Shared between Hermes and JBIC</t>
  </si>
  <si>
    <t>1200 MW Plant, split between JBIC, NEXI, and NEXIM (non G7 but still included in OECD data)</t>
  </si>
  <si>
    <t>1200 MW plant financed by JBIC and NEXI</t>
  </si>
  <si>
    <t>Bank group finances Chile's Cochrane power project. (2013). Trade Finance, 16(3), 18.</t>
  </si>
  <si>
    <t>Parliamentary Inquiry. 839 million euros.</t>
  </si>
  <si>
    <t xml:space="preserve">172 million euros </t>
  </si>
  <si>
    <t>Parliamentary Inquiry. 64 million euros</t>
  </si>
  <si>
    <t>Parliamentary Inquiry. 30 million euros</t>
  </si>
  <si>
    <t>Parliamentary Inquiry. 28 million euros</t>
  </si>
  <si>
    <t>Parliamentary Inquiry. 0.3 million euros</t>
  </si>
  <si>
    <t>Year</t>
  </si>
  <si>
    <t>Croatia</t>
  </si>
  <si>
    <t>Parliamentary Inquiry. 2m euros</t>
  </si>
  <si>
    <t>Parliamentary Inquiry. 56m euros</t>
  </si>
  <si>
    <t>Parliamentary Inquiry. 30m euros</t>
  </si>
  <si>
    <t>Parliamentary Inquiry. 32m euros</t>
  </si>
  <si>
    <t>Parliamentary Inquiry. 4m euros</t>
  </si>
  <si>
    <t>Ukraine</t>
  </si>
  <si>
    <t>Coal processing: coal grinding plant</t>
  </si>
  <si>
    <t>Egypt</t>
  </si>
  <si>
    <t>no contract yet; Envisioned as a 200 million euro contribution from kFW.</t>
  </si>
  <si>
    <t>Parliamentary Inquiry March 2016. 16m euros</t>
  </si>
  <si>
    <t>Parliamentary Inquiry March 2016. 4m euros</t>
  </si>
  <si>
    <t>Parliamentary Inquiry March 2016. 22 euros</t>
  </si>
  <si>
    <t>Parliamentary Inquiry March 2016. 197 euros</t>
  </si>
  <si>
    <t>Parliamentary Inquiry March 2016. 20 euros</t>
  </si>
  <si>
    <t>Parliamentary Inquiry March 2016. 2m euros</t>
  </si>
  <si>
    <t>Parliamentary Inquiry March 2016. 1m euros</t>
  </si>
  <si>
    <t>Parliamentary Inquiry March 2016. 76m euros</t>
  </si>
  <si>
    <t>Parliamentary Inquiry March 2016. 3m euros</t>
  </si>
  <si>
    <t>Parliamentary Inquiry March 2016. 18m euros</t>
  </si>
  <si>
    <t>Parliamentary Inquiry March 2016. 42 euros</t>
  </si>
  <si>
    <t>Parliamentary Inquiry March 2016. 0.3m euros</t>
  </si>
  <si>
    <t>Shareholding amounts for Development Banks</t>
  </si>
  <si>
    <t>IBRD</t>
  </si>
  <si>
    <t>IDA</t>
  </si>
  <si>
    <t>IFC</t>
  </si>
  <si>
    <t>EBRD</t>
  </si>
  <si>
    <t>ADB</t>
  </si>
  <si>
    <t>AfDB</t>
  </si>
  <si>
    <t>IADB</t>
  </si>
  <si>
    <t>EIB</t>
  </si>
  <si>
    <t>Total Shares</t>
  </si>
  <si>
    <t>% of Shareholdings</t>
  </si>
  <si>
    <t>Total Votes</t>
  </si>
  <si>
    <t>Total Subscriptions</t>
  </si>
  <si>
    <t>World Bank - International Finance Corporation</t>
    <phoneticPr fontId="27" type="noConversion"/>
  </si>
  <si>
    <t>Electrotherm</t>
  </si>
  <si>
    <t xml:space="preserve">India </t>
  </si>
  <si>
    <t>WBG</t>
  </si>
  <si>
    <t>World Bank - International Development Association</t>
    <phoneticPr fontId="27" type="noConversion"/>
  </si>
  <si>
    <t>Republic of Madagascar</t>
  </si>
  <si>
    <t>Additional Financing for the Mineral Resources Governance Project</t>
  </si>
  <si>
    <t>Madagascar</t>
  </si>
  <si>
    <t>Lanco Amarkantak Power Private Limited</t>
  </si>
  <si>
    <t>Lanco Amarkantak Thermal Power Station</t>
  </si>
  <si>
    <t>PT Makmur Sejahtera Wisesa</t>
  </si>
  <si>
    <t xml:space="preserve">Indonesia </t>
  </si>
  <si>
    <t>Coal Power Plant - New</t>
    <phoneticPr fontId="27" type="noConversion"/>
  </si>
  <si>
    <t>REPUBLIC OF KOSOVO</t>
  </si>
  <si>
    <t>LPTAP Additional Financing 1</t>
  </si>
  <si>
    <t xml:space="preserve">Kosovo </t>
  </si>
  <si>
    <t>Masinloc Power Partners Co Ltd</t>
  </si>
  <si>
    <t>World Bank - International Bank for Reconstruction and Development</t>
    <phoneticPr fontId="27" type="noConversion"/>
  </si>
  <si>
    <t>Government of Ukraine</t>
  </si>
  <si>
    <t>Second Development Policy Loan (DPL II)</t>
  </si>
  <si>
    <t>Coal Mining</t>
    <phoneticPr fontId="27" type="noConversion"/>
  </si>
  <si>
    <t>Suez Energy Andino</t>
  </si>
  <si>
    <t>Central Termoelectrica Andino (CTA)</t>
  </si>
  <si>
    <t>Government of the Kyrgyz Republic</t>
  </si>
  <si>
    <t>Emergency Energy Assistance</t>
  </si>
  <si>
    <t>Kyrgyz Republic</t>
  </si>
  <si>
    <t>Himadri Chemicals &amp; Industries Limited</t>
  </si>
  <si>
    <t>Himadri</t>
  </si>
  <si>
    <t>Government of India</t>
  </si>
  <si>
    <t>Coal Fired Generation Rehabilitation Project</t>
  </si>
  <si>
    <t>Fifth Power System Development Project</t>
  </si>
  <si>
    <t>Coal - T &amp; D</t>
  </si>
  <si>
    <t>Government of Botswana</t>
  </si>
  <si>
    <t xml:space="preserve">Morupule B Power Project </t>
  </si>
  <si>
    <t>Botswana</t>
  </si>
  <si>
    <t>Medupi Power Project [Eskom Investment Support Project - coal plant]</t>
  </si>
  <si>
    <t>MN-Mining Infrastructure Investment Supp</t>
  </si>
  <si>
    <t>Government of Cote d'Ivoire</t>
  </si>
  <si>
    <t>Post-conflict Reconstruction and Recovery Grant (PCRRG)</t>
  </si>
  <si>
    <t>Cote d'Ivoire</t>
  </si>
  <si>
    <t>Government of Tajikistan</t>
  </si>
  <si>
    <t>Private Sector Competitiveness Tajikistan</t>
  </si>
  <si>
    <t>Tajikistan</t>
  </si>
  <si>
    <t>Pakistan International Bulk Terminal Limited</t>
  </si>
  <si>
    <t>PIBT</t>
  </si>
  <si>
    <t>Pakistan</t>
  </si>
  <si>
    <t>Coal Mining - Imports</t>
  </si>
  <si>
    <t>Indonesia Infrastructure Guarantee Fund Project</t>
    <phoneticPr fontId="27" type="noConversion"/>
  </si>
  <si>
    <t>World Bank - International Finance Corporation</t>
  </si>
  <si>
    <t>Oyu Tolgoi, LLC</t>
  </si>
  <si>
    <t xml:space="preserve">Oyu Tolgoi Power Plant </t>
  </si>
  <si>
    <t>Government of Kosovo</t>
  </si>
  <si>
    <t>Clean-up &amp; Land Reclamation Project (Additional Financing)</t>
  </si>
  <si>
    <t>Kosovo</t>
    <phoneticPr fontId="27" type="noConversion"/>
  </si>
  <si>
    <t xml:space="preserve">Government of Mozambique </t>
  </si>
  <si>
    <t>Ninth Poverty Reduction Support Credit (PRSC 9)</t>
  </si>
  <si>
    <t>Mozambique</t>
    <phoneticPr fontId="27" type="noConversion"/>
  </si>
  <si>
    <t>ACWA Equity</t>
  </si>
  <si>
    <t>ACWA Equity</t>
    <phoneticPr fontId="27" type="noConversion"/>
  </si>
  <si>
    <t>Government of Senegal</t>
    <phoneticPr fontId="27" type="noConversion"/>
  </si>
  <si>
    <t>SN- Second Governance and Growth Support Credit (including Sendou coal power plant)</t>
  </si>
  <si>
    <t>Senegal</t>
  </si>
  <si>
    <t xml:space="preserve">Stora Enso Oyj </t>
  </si>
  <si>
    <t>Stora Enso  (Stora China III)</t>
  </si>
  <si>
    <t>Government of Pakistan</t>
    <phoneticPr fontId="27" type="noConversion"/>
  </si>
  <si>
    <t>Power Sector Reform: Development Policy Credit</t>
    <phoneticPr fontId="27" type="noConversion"/>
  </si>
  <si>
    <t>World Bank - International Bank for Reconstruction and Development</t>
  </si>
  <si>
    <t>Multilateral</t>
  </si>
  <si>
    <t>Active</t>
  </si>
  <si>
    <t>Active (restructured)</t>
  </si>
  <si>
    <t>Share of full power plant capacity of 600MW</t>
  </si>
  <si>
    <t>Medupi Power Project</t>
  </si>
  <si>
    <t>Government of Senegal</t>
  </si>
  <si>
    <t>Share of full power plant capacity of 125</t>
  </si>
  <si>
    <t>Energias do Brasil S.A. and MPX Energia S.A.</t>
  </si>
  <si>
    <t>Pécem Thermoelectric Power Plant Project</t>
  </si>
  <si>
    <t>Brazil</t>
  </si>
  <si>
    <t>Share of full power plant capacity of 720</t>
  </si>
  <si>
    <t>UTE Porto do Itaqui Geração de Energia Ltda.</t>
  </si>
  <si>
    <t>TermoMaranhao Thermoelectric Power Plant Project</t>
  </si>
  <si>
    <t>European Investment Bank</t>
  </si>
  <si>
    <t>ENEL Energia Rinovabile &amp; Ambiante</t>
  </si>
  <si>
    <t>Share of full power plant capacity of 3930</t>
  </si>
  <si>
    <t>Holding Slovenske Elektrarne</t>
  </si>
  <si>
    <t>Slovenia</t>
  </si>
  <si>
    <t>STEAG Aktiengesellschaft, Germany    
ENV AG, Austria</t>
  </si>
  <si>
    <t>Advanced Coal-Power Plant Duisburg-Walsum</t>
  </si>
  <si>
    <t>Share of full power plant capacity of 750</t>
  </si>
  <si>
    <t>Public Power Corporation S.A. (PPC - the Greek electricity utility)</t>
  </si>
  <si>
    <t>PPC Environment</t>
  </si>
  <si>
    <t>Share of full power plant capacity of 1600</t>
  </si>
  <si>
    <t>POWER PLANT KARLSRUHE</t>
  </si>
  <si>
    <t>Power plant Karlsruhe</t>
  </si>
  <si>
    <t>Share of full power plant capacity of 1020</t>
  </si>
  <si>
    <t>Fortum Corporation</t>
  </si>
  <si>
    <t>Fortum CHP and E-Metering - Poland</t>
  </si>
  <si>
    <t>Poland</t>
  </si>
  <si>
    <t>Share of full power plant capacity of 184</t>
  </si>
  <si>
    <t>Stora Enso Oyj</t>
  </si>
  <si>
    <t>SE Power Plant and Forest Industry R&amp;D</t>
  </si>
  <si>
    <t>Share of full power plant capacity of 201</t>
  </si>
  <si>
    <t>Holding Slovenske Elektrarne d.o.o.</t>
  </si>
  <si>
    <t>TEŠ – Thermal Power Plant Šostanj</t>
  </si>
  <si>
    <t>Emissions counted from 2003 loan</t>
  </si>
  <si>
    <t>Poludniowy Koncern Energetyczny SA</t>
  </si>
  <si>
    <t>Tauron-South Poland CHP</t>
  </si>
  <si>
    <t>Share of full power plant capacity of 156</t>
  </si>
  <si>
    <t>Termoelectrica S.A.</t>
  </si>
  <si>
    <t>Paroseni Power Plant</t>
  </si>
  <si>
    <t>Romania</t>
  </si>
  <si>
    <t>Share of full power plant capacity of 265</t>
  </si>
  <si>
    <t>Inter-American Development Bank</t>
  </si>
  <si>
    <t>African Development Bank</t>
  </si>
  <si>
    <t>Government of Pakistan</t>
  </si>
  <si>
    <t>World Bank - International Finance Corporation</t>
    <phoneticPr fontId="0" type="noConversion"/>
  </si>
  <si>
    <t>World Bank - International Development Association</t>
    <phoneticPr fontId="0" type="noConversion"/>
  </si>
  <si>
    <t>World Bank - International Bank for Reconstruction and Development</t>
    <phoneticPr fontId="0" type="noConversion"/>
  </si>
  <si>
    <t>ACWA Equity</t>
    <phoneticPr fontId="0" type="noConversion"/>
  </si>
  <si>
    <t>MENA Region</t>
    <phoneticPr fontId="0" type="noConversion"/>
  </si>
  <si>
    <t>Sendou Power Project</t>
  </si>
  <si>
    <t>ENEL</t>
  </si>
  <si>
    <t>TES Thermal Power Plant</t>
  </si>
  <si>
    <t>Asian Development Bank</t>
  </si>
  <si>
    <t>Viet Nam Electricity(EVN)</t>
  </si>
  <si>
    <t>Mong Duong 1 Thermal Power Project - Tranche 1</t>
  </si>
  <si>
    <t>Share of full power plant capacity of 1080</t>
  </si>
  <si>
    <t>Masinloc: Acquisition and Rehabilitation of the Masinloc Coal-Fired Thermal Power Plant</t>
  </si>
  <si>
    <t>Share of full power plant capacity of 600</t>
  </si>
  <si>
    <t>ADB Project 41946-014: Source of Funding - ADB LIBOR Based Loan). Supercritical</t>
  </si>
  <si>
    <t>Government of the Philippines</t>
  </si>
  <si>
    <t>Privatization and Refurbishment of the Calaca Coal-Fired Thermal Plant Project</t>
  </si>
  <si>
    <t>Greengen Co. Ltd.</t>
  </si>
  <si>
    <t>Small-scale Technical Assistance for Capacity Strengthening in Planning and Implementation of Integrated Gasification Combined Cycle Plant</t>
  </si>
  <si>
    <t>ADB Project 42117-022: Source of Funding - ADB/Technical Assistance Special Fund. IGCC plant. ADB does not include in its list.</t>
  </si>
  <si>
    <t>Government of China</t>
  </si>
  <si>
    <t>Recycling Waste Coal for Power Generation</t>
  </si>
  <si>
    <t>KEPCO SPC POWER CORPORATION</t>
  </si>
  <si>
    <t>VISAYAS BASE-LOAD POWER PROJECT</t>
  </si>
  <si>
    <t xml:space="preserve">ADB Project 43906-014: Source of Funding - ADB LIBOR Based Loan. CFB subcritical </t>
  </si>
  <si>
    <t>Mong Duong 1 Thermal Power Project - Tranche 2</t>
  </si>
  <si>
    <t>Yes</t>
  </si>
  <si>
    <t>Tianjin Integrated Gasification Combined Cycle Power Plant Project</t>
  </si>
  <si>
    <t>ADB Project 42117- 013: Source of Funding - ADB Ordinary Capital Resources and ADB/Climate Change Fund. Loan and grant. Integrated gasification combined cycle (IGCC)</t>
  </si>
  <si>
    <t>Share of full power plant capacity of 250</t>
  </si>
  <si>
    <t>Jamshoro Power Generation Project - Stage 1</t>
  </si>
  <si>
    <t>Mongolia Ministry of Mining and Energy</t>
  </si>
  <si>
    <t>Coal to Cleaner Fuel Conversion for Heating in Ger District and Power Generation</t>
  </si>
  <si>
    <t>US</t>
  </si>
  <si>
    <t>UK</t>
  </si>
  <si>
    <t>Other Public Finance</t>
  </si>
  <si>
    <t>World Bank</t>
  </si>
  <si>
    <t>PENDING avg exchange rate for 2014 1.329; (environmental measure: deployment of modern environmental protection technologies for waste gas purification, and rehabilitation of generators, turbines and boilers)</t>
  </si>
  <si>
    <t>PENDING avg exchange rate for 2014 1.329; (environmental measure: modernisation of an ash disposal system)</t>
  </si>
  <si>
    <t>The annual emissions for the power plant assume conservative capacity factor, heat rate, and emissions factor. We assume an average capacity factor of 59.3% percent, a heat rate of 9,057 Btu/kWh, and an emissions factor of 211.9 pounds of CO2 per million Btu and average life of a plant as 40 years. The capacity factor is based upon the average worldwide rate in 2013, although there are estimates that the actual capacity factor in a number of key countries where investments are occurring are higher. The heat rate is based upon a standard rate for a "supercritical combustion plant". The emissions factor is based upon a standard rate for "subbituminous coal" even though the quality of coal in some plants is lower or using lignite coal. The CO2 emissions from a proposed coal plant can be calculated with the following formula: annual CO2 (in million tonnes) = capacity * capacity factor * heat rate * emission factor * 3.97347 x 10^-9 For more on the methodology and the assumptions see:</t>
  </si>
  <si>
    <t>Confirmed the data and provided an updated emissions estimate</t>
  </si>
  <si>
    <t>Acknowledged, waiting for data/response</t>
  </si>
  <si>
    <t>Support for Eskom Capacity Expansion Program</t>
  </si>
  <si>
    <t>Nigeria</t>
  </si>
  <si>
    <t>Partial risk guarantee for coal-to-power investment in Nigeria</t>
  </si>
  <si>
    <t>Nigerian Bulk Electricity Trading</t>
  </si>
  <si>
    <t>Mozambique, Malawi</t>
  </si>
  <si>
    <t>Vale</t>
  </si>
  <si>
    <t>European Bank for Reconstruction and Development</t>
  </si>
  <si>
    <t>EPS</t>
  </si>
  <si>
    <t>EPS Restructuring</t>
  </si>
  <si>
    <t>Thai Binh Power Plant and Transmission Lines (II)</t>
  </si>
  <si>
    <t>Thai Binh Thermal Power Plant and Transmission Lines Construction Project (III)</t>
  </si>
  <si>
    <t>MW figures not included here to avoid duplication, since this is the third of three loans for the same project. Same project as Thai Binh Thermal Power Plant and Transmission Lines Construction Project (II), but the third tranche.</t>
  </si>
  <si>
    <t>http://www.jica.go.jp/english/news/press/2015/150706_01.html</t>
  </si>
  <si>
    <t>Batang</t>
  </si>
  <si>
    <t>Approved in 2016 - included as "pending" project for tabulation purposes since we do not have a space for 2016 projects.</t>
  </si>
  <si>
    <t>https://ijglobal.com/articles/97917/bot-contract-signed-for-vung-ang-2</t>
  </si>
  <si>
    <t xml:space="preserve">According to IJGlobal article, “The sponsors have now started to turn their attention to the financing and are speaking to the Japan Bank for International Cooperation (JBIC) about providing a mixture of direct loans and guarantees for the project.”
No further details; allocated JBIC $625 million - 25% of $2.5 billion – which is a conservative estimate compared to JBIC’s share of participation in other coal-fired power projects.
Comments from sponsors indicate they will also seek NEXI cover, but not clear for what portion, so no amount included
</t>
  </si>
  <si>
    <t>CLP Holdings, Mitsubishi</t>
  </si>
  <si>
    <t>JBIC’s potential participation is clear, but amount is unclear. Allocated JBIC $650 million - 25% of $2.6 billion – which is a conservative estimate compared to JBIC’s share of participation in other coal-fired power projects.</t>
  </si>
  <si>
    <t>https://ijglobal.com/articles/94256/jbic-debt-for-vietnams-van-phong-power</t>
  </si>
  <si>
    <t>Sumitomo  Corp.</t>
  </si>
  <si>
    <t>Marubeni, Posco</t>
  </si>
  <si>
    <t>Mozambique</t>
  </si>
  <si>
    <t>Coal port and railway</t>
  </si>
  <si>
    <t xml:space="preserve">JBIC and NEXI expected to provide substantial support to the Ncala rail and coal project, according to IJGlobal reports: “Alongside JBIC and Nexi, which will provide debt coverage for Japanese banks, development finance institutions (DFIs) the IFC and AfDB are also expected to lend on the deal.” . JICA has already provided support through an ODA loan agreement, as of June 2015. Total project value is $4.5 billion; prospective JBIC and NEXI contribution are conservatively estimated at 5% of total value each. </t>
  </si>
  <si>
    <t xml:space="preserve">JBIC and NEXI expected to provide substantial support to the Ncala rail and coal project, according to IJGlobal reports: “Alongside JBIC and Nexi, which will provide debt coverage for Japanese banks, development finance institutions (DFIs) the IFC and AfDB are also expected to lend on the deal.” JICA has already provided support through an ODA loan agreement, as of June 2015. Total project value is $4.5 billion; prospective JBIC and NEXI contribution are conservatively estimated at 5% of total value each. </t>
  </si>
  <si>
    <t>JICA has already supported this project; JBIC expected to provide $862.5 million according to IJGlobal</t>
  </si>
  <si>
    <t>https://ijglobal.com/data/transaction/28855/nghi-son-2-coal-fired-power-plant-1200mw</t>
  </si>
  <si>
    <t>Marubeni, KEPCO</t>
  </si>
  <si>
    <t>Myanmar</t>
  </si>
  <si>
    <t>Toyo Thai</t>
  </si>
  <si>
    <t xml:space="preserve">Based on IJGlobal article, it is assumed that JBIC will finance 80% of $2bn debt, or $1.6 bn: “Toyo-Thai plans to set up a holding company through existing subsidiary Toyo Thai Power called Toyo-Thai Power Myanmar to act as the project company. It is planning to mandate the Japan Bank for International Cooperation (JBIC) for roughly 80% of the $2bn debt required for the project.” </t>
  </si>
  <si>
    <t>https://ijglobal.com/data/transaction/30905/toyo-thai-coal-fired-power-plant-1280mw</t>
  </si>
  <si>
    <t>USD 274 million (project description indicates NEXI cover applies to only portion financed by private institutions, so given total financed amount of $683 million, minus JBIC portion of $409 million, NEXI coverage would be for $274 million)</t>
  </si>
  <si>
    <t>Pavlodar Energo</t>
  </si>
  <si>
    <t>Mongolian Gold MAK</t>
  </si>
  <si>
    <t>Coal Power Plant - Emissions Control</t>
  </si>
  <si>
    <t>OGK-5 Equity Coal Portion</t>
  </si>
  <si>
    <t>Enel SpA</t>
  </si>
  <si>
    <t>Energy Resources LLC</t>
  </si>
  <si>
    <t>Mongolia Mining Corporation (f. Energy Resources)</t>
  </si>
  <si>
    <t xml:space="preserve">TGK-13 Capacity Financing </t>
  </si>
  <si>
    <t>TGK-18</t>
  </si>
  <si>
    <t>Saturn Management Limited Liability Partnership</t>
  </si>
  <si>
    <t>Saturn (coal component)</t>
  </si>
  <si>
    <t>Leighton Mongolia</t>
  </si>
  <si>
    <t>Energy Resources Phase II</t>
  </si>
  <si>
    <t>Termoelektrarna Šoštanj</t>
  </si>
  <si>
    <t>Šoštanj Thermal Power Plant</t>
  </si>
  <si>
    <t>Sogrinsk CHP LLP</t>
  </si>
  <si>
    <t>AES Sogrinsk CHP</t>
  </si>
  <si>
    <t>Elektrownia Patnow II Sp. Z.O.O. (EPII)</t>
  </si>
  <si>
    <t>Patnow II Refinancing: Konin Biomass</t>
  </si>
  <si>
    <t>Elektroprivreda Srbije (EPS)</t>
  </si>
  <si>
    <t>EPS Kolubara Environmental Improvement</t>
  </si>
  <si>
    <t>Interdon</t>
  </si>
  <si>
    <t>Sadovaya Coal Recycling</t>
  </si>
  <si>
    <t>Coal Energy</t>
    <phoneticPr fontId="29" type="noConversion"/>
  </si>
  <si>
    <t>CET Oltenia</t>
    <phoneticPr fontId="29" type="noConversion"/>
  </si>
  <si>
    <t>Oltenia-Turceni Rehabilitation</t>
    <phoneticPr fontId="29" type="noConversion"/>
  </si>
  <si>
    <t>Romania</t>
    <phoneticPr fontId="29" type="noConversion"/>
  </si>
  <si>
    <t>"This is in response to your inquiry dated March 29, 2016 regarding coal projects supported by NEXI since 2007. All the information NEXI can provide is posted on our website."</t>
  </si>
  <si>
    <t>688MW plant shared by NEXI and JBIC</t>
  </si>
  <si>
    <t>Coal-fired power plants: steam generator plant and turbine unit</t>
  </si>
  <si>
    <t>Coal-fired power plants: ball track incl. fixtures</t>
  </si>
  <si>
    <t>Coal-fired power plants: power plant units</t>
  </si>
  <si>
    <t>Coal-fired power plants: steam turbines/generators for a coal-fired power plant</t>
  </si>
  <si>
    <t>Coal-fired power plants:  modernisation of coal mixing storage bays</t>
  </si>
  <si>
    <t>Coal-fired power plants:  steam generators in units of the Bitola power plant</t>
  </si>
  <si>
    <t>Coal-fired power plants: sprocket plus fixtures</t>
  </si>
  <si>
    <t>Coalmining machinery: crushers, conveyors, spreaders, installation engineering</t>
  </si>
  <si>
    <t>Coalmining machinery: equipment for mining coal</t>
  </si>
  <si>
    <t>Coal processing: equipment for manufacturing briquettes</t>
  </si>
  <si>
    <t>Coking plants: coke oven machines including spare parts</t>
  </si>
  <si>
    <t>Coalmining machinery: conversion of the air cooling system</t>
  </si>
  <si>
    <t>Coalmining machinery: roller loader including additional equipment</t>
  </si>
  <si>
    <t>Coal processing: coke oven machine including services</t>
  </si>
  <si>
    <t>Coalmining machinery: folding shovel excavator</t>
  </si>
  <si>
    <t>Parliamentary Inquiry. 7m Euros</t>
  </si>
  <si>
    <t>Transmission &amp; Distribution</t>
  </si>
  <si>
    <t>Status: Closed</t>
  </si>
  <si>
    <t>Project Status</t>
  </si>
  <si>
    <t>Share of full power plant capacity of 30MW</t>
  </si>
  <si>
    <t>Share of full power plant capacity of 60MW</t>
  </si>
  <si>
    <t>Share of full power plant capacity of 125MW</t>
  </si>
  <si>
    <t>Share of full power plant capacity of 420MW</t>
  </si>
  <si>
    <t>Share of full power plant capacity of 720MW</t>
  </si>
  <si>
    <t>Share of full power plant capacity of 600MW, split with AfDB</t>
  </si>
  <si>
    <t>Share of full power plant capacity of 600MW, split with WBG</t>
  </si>
  <si>
    <t>Share of full power plant capacity of 4800, split with WBG</t>
  </si>
  <si>
    <t>Share of full power plant capacity of 4800, split with AfDB</t>
  </si>
  <si>
    <t>Since KfW has not provided full detail that allows us to identify total coal investments, we have conservatively used the values that KfW provided to a Parliamentary inquiry on November 8, 2013. We used additional information that KfW provided to a Parliamentary inquiry on March 26, 2015 (for project supported in 2014). The total coal investment reflects the overall amount of coal finance reported by KfW annually from 2007-2013, although it isn't clear whether the KfW report includes coal mining, T&amp;D, etc. The breakout by coal project type only includes values that we were able to compile using publicly available data. The value for "other/unspecified" is the difference between the value KfW reported to Parliament and the individual project breakout that we were been able to compile.</t>
  </si>
  <si>
    <t>Ref No. is 14-074. The project was approved by JBIC in July 2014, but the NEXI is an insurance provider. An insurance approval is usually at the later stage than a loan approval.</t>
    <phoneticPr fontId="1"/>
  </si>
  <si>
    <t>http://www.nexi.go.jp/en/environment/information/index.html</t>
  </si>
  <si>
    <t xml:space="preserve">Ref No. is 14-083. </t>
  </si>
  <si>
    <t xml:space="preserve">Ref No. is 14-082. </t>
  </si>
  <si>
    <t xml:space="preserve">Ref No. is 14-084. </t>
  </si>
  <si>
    <t>Contacted, awaiting response</t>
  </si>
  <si>
    <t>Status of Response</t>
  </si>
  <si>
    <r>
      <t xml:space="preserve">Power Plant Size </t>
    </r>
    <r>
      <rPr>
        <sz val="11"/>
        <color theme="0"/>
        <rFont val="Calibri"/>
        <family val="2"/>
        <scheme val="minor"/>
      </rPr>
      <t>(MW) or Share</t>
    </r>
  </si>
  <si>
    <t>http://en.vietnamplus.vn/Home/PetroVietnam-secures-credit-for-Vung-Ang-plant/20114/17760.vnplus</t>
  </si>
  <si>
    <t>http://www.agaportal.de/en/aga/projektinformationen/projektinformation_2008.html</t>
  </si>
  <si>
    <t>http://www.agaportal.de/en/aga/nachhaltigkeit/umwelt/projekt/projektinformation_2011.html</t>
  </si>
  <si>
    <t>http://bv.com/Projects/eskom-kusile-power-station-witbank-southafrica</t>
  </si>
  <si>
    <t>http://www.jbic.go.jp/en/information/press/press-2006/0329-6983</t>
  </si>
  <si>
    <t>https://www.jbic.go.jp/en/information/press/press-2008/0710-7112</t>
  </si>
  <si>
    <t>https://www.jbic.go.jp/ja/information/press/press-2011/1228-6073</t>
  </si>
  <si>
    <t>http://www.jbic.go.jp/en/information/press/press-2006/0327-6982</t>
  </si>
  <si>
    <t>http://sekitan.jp/jbic/wp-content/uploads/2014/01/Lists-of-Approved-Coal-Investments-by-JBIC-April-2015.pdf</t>
  </si>
  <si>
    <t>http://sekitan.jp/jbic/wp-content/uploads/2015/02/jbiccoallisten.pdf</t>
  </si>
  <si>
    <t>https://www.jbic.go.jp/en/information/press/press-2014/0919-29158</t>
  </si>
  <si>
    <t>http://www.jbic.go.jp/en/information/press/press-2012/0327-7392</t>
  </si>
  <si>
    <t>http://www.jbic.go.jp/en/information/press/press-2008/1230-7135</t>
  </si>
  <si>
    <t>https://www.jbic.go.jp/en/information/press/press-2007/0607-7048</t>
  </si>
  <si>
    <t>http://www.jbic.go.jp/en/information/press/press-2012/0328-7393</t>
  </si>
  <si>
    <t>http://www.jbic.go.jp/en/information/press/press-2011/0307-7297</t>
  </si>
  <si>
    <t>http://www.presseportal.de/pm/69662/1409496/kfw-ipex-bank-finances-highly-energy-efficient-medupi-coal-fired-power-station-in-south-africa</t>
  </si>
  <si>
    <t>http://www.docstoc.com/docs/52559316/The-African-Development-Bank-and-ESKOM-Holdings-Ltd-sign</t>
  </si>
  <si>
    <t>http://www.jbic.go.jp/en/information/press/press-2014/0331-37582</t>
  </si>
  <si>
    <t>http://www.coface.fr/content/download/2745/38735/version/1/file/gc02_11.pdf</t>
  </si>
  <si>
    <t>http://www.jbic.go.jp/en/information/press/press-2007/1220-7083</t>
  </si>
  <si>
    <t>http://www.sace.it/GruppoSACE/export/sites/default/download/comunicati/2013/20130129-CS_-Coeclerici_SACE_Indonesia_EN.pdf</t>
  </si>
  <si>
    <t>https://www.jbic.go.jp/en/information/press/press-2013/0516-7513</t>
  </si>
  <si>
    <t>http://www.jbic.go.jp/en/information/press/press-2012/0829-7439</t>
  </si>
  <si>
    <t>https://www.jbic.go.jp/en/information/press/press-2012/0815-7432</t>
  </si>
  <si>
    <t>http://www.agaportal.de/en/aga/projektinformationen/projektinformation_2009.html</t>
  </si>
  <si>
    <t>http://www.edc.ca/EN/About-Us/Disclosure/Reporting-on-Transactions/Pages/signed-cat-a-projects-as-of-november-1-2010.aspx</t>
  </si>
  <si>
    <t>https://www.jbic.go.jp/ja/information/press/press-2009/0323-6441</t>
  </si>
  <si>
    <t>https://www.jbic.go.jp/en/information/press/press-2012/0828-7438</t>
  </si>
  <si>
    <t>https://www.jbic.go.jp/en/information/press/press-2012/0621-7419</t>
  </si>
  <si>
    <t>https://www.jbic.go.jp/en/information/press/press-2011/0227-7295</t>
  </si>
  <si>
    <t>http://www.coface.fr/content/download/2739/38717/version/2/file/Contrats+gtis+1er+trimestre+2012.pdf</t>
  </si>
  <si>
    <t>http://www.edc.ca/EN/About-Us/Disclosure/Reporting-on-Transactions/Documents/project-summary-pacific-lng.pdf</t>
  </si>
  <si>
    <t>http://www.jbic.go.jp/en/information/press/press-2014/0717-25305</t>
  </si>
  <si>
    <t>http://www.jbic.go.jp/en/information/press/press-2013/0127-17508</t>
  </si>
  <si>
    <t>http://www.jbic.go.jp/en/information/press/press-2009/0308-7152</t>
  </si>
  <si>
    <t>http://www.sace.it/GruppoSACE/export/sites/default/download/comunicati/2011/20111228_-_PR_-_SACE_-_Santos_-_EN.pdf</t>
  </si>
  <si>
    <t>https://www.jbic.go.jp/en/information/press/press-2011/0330-7307</t>
  </si>
  <si>
    <t>https://www.jbic.go.jp/en/information/press/press-2009/0330-7167</t>
  </si>
  <si>
    <t>http://www.jbic.go.jp/en/information/press/press-2009/0728-7189</t>
  </si>
  <si>
    <t>http://www.coface.fr/content/download/2742/38728/version/2/file/Contrats+gtis+3%C3%A8me+trimestre+2011.pdf</t>
  </si>
  <si>
    <t>http://www.edc.ca/EN/About-Us/Disclosure/Reporting-on-Transactions/Pages/signed-cat-a-projects-prior-november-1-2010.aspx</t>
  </si>
  <si>
    <t>http://www.edc.ca/EN/About-Us/Disclosure/Reporting-on-Transactions/Pages/signed-category-b-projects.aspx</t>
  </si>
  <si>
    <t>https://www.jbic.go.jp/en/efforts/support/support-2010/0901-4343</t>
  </si>
  <si>
    <t>http://www.agaportal.de/en/aga/projektinformationen/projektinformation_2011.html</t>
  </si>
  <si>
    <t>https://www.jbic.go.jp/en/information/press/press-2014/0902-28881</t>
  </si>
  <si>
    <t>http://www.jbic.go.jp/en/information/press/press-2013/0822-7553</t>
  </si>
  <si>
    <t>http://www.jbic.go.jp/en/information/press/press-2009/1022-7200</t>
  </si>
  <si>
    <t>http://www.agaportal.de/en/aga/projektinformationen/liste.html</t>
  </si>
  <si>
    <t>http://www.agaportal.de/en/aga/projektinformationen/projektinformation_2010.html</t>
  </si>
  <si>
    <t>http://www.coface.fr/content/download/46639/532929/version/4/file/Contrats+gtis+2%C3%A8me+trimestre+2013.pdf</t>
  </si>
  <si>
    <t>http://www.exim.gov/about/library/reports/annualreports/2008/upload/AuthorizationsListings.pdf</t>
  </si>
  <si>
    <t>http://www.exim.gov/newsandevents/boardmeetings/board/boardmeeting-agenda.cfm?pageID=37064</t>
  </si>
  <si>
    <t>http://www.exim.gov/customcf/congressionalmap/district_map.cfm?state=PA&amp;district=12</t>
  </si>
  <si>
    <t>http://www.exim.gov/newsandevents/releases/2013/ExIm-Approves-500-million-to-Finance-US-Exports-for-Use-in-Mongolian-Mine.cfm</t>
  </si>
  <si>
    <t>http://www.exim.gov/newsandevents/boardmeetings/board/boardmeeting-agenda.cfm?pageID=3777</t>
  </si>
  <si>
    <t>http://www.exim.gov/newsandevents/releases/2011/ex-im-bank-financing-for-sub-saharan-africa-exceeds-1-billion-for-first-time.cfm</t>
  </si>
  <si>
    <t>http://www.exim.gov/newsandevents/releases/2012/ex-im-bank-approves-nearly-3-billion-in-export-financing-for-u-s-goods-and-services-to-australia-pacific-lng-project.cfm</t>
  </si>
  <si>
    <t>http://www.smh.com.au/business/bg-gets-18b-from-us-exportimport-bank-for-curtis-lng-project-20130101-2c4cp.html</t>
  </si>
  <si>
    <t>http://www.mechel.com/sector/mining/yakutugol/</t>
  </si>
  <si>
    <t>http://www.exim.gov/newsandevents/boardmeetings/board/boardmeeting-agenda.cfm?pageID=16915</t>
  </si>
  <si>
    <t>http://www.exim.gov/about/library/reports/annualreports/2013/FY2013-long-term-guarantees-auth.pdf</t>
  </si>
  <si>
    <t>http://www.jica.go.jp/english/news/press/2012/130328_02.html</t>
  </si>
  <si>
    <t>http://www.jica.go.jp/english/our_work/evaluation/oda_loan/economic_cooperation/c8h0vm000001rdjt-att/vietnam110124_02.pdf</t>
  </si>
  <si>
    <t>http://www.jica.go.jp/english/news/press/2014/150130_01.html</t>
  </si>
  <si>
    <t>http://www.jica.go.jp/english/news/press/2010/110124.html</t>
  </si>
  <si>
    <t>http://www.jica.go.jp/english/news/press/2011/111124.html</t>
  </si>
  <si>
    <t>http://www.jica.go.jp/english/news/press/2009/091020.html</t>
  </si>
  <si>
    <t>http://www.jica.go.jp/english/news/press/2014/140616_02.html</t>
  </si>
  <si>
    <t>http://www.jica.go.jp/english/news/press/2011/111102.html</t>
  </si>
  <si>
    <t>http://www.jica.go.jp/english/news/press/2010/110311.html</t>
  </si>
  <si>
    <t>http://www.jica.go.jp/english/our_work/social_environmental/id/asia/southeast/indonesia_a02.htmlJICA Website</t>
  </si>
  <si>
    <t>http://www.edf.org/sites/default/files/9584_coal-plants-spreadsheet.xls</t>
  </si>
  <si>
    <t>https://www.kfw.de/KfW-Group/Newsroom/Aktuelles/Pressemitteilungen/Pressemitteilungen-Details_10531.html</t>
  </si>
  <si>
    <t>http://www.hitachi-power.com/de/pressearchiv-2009.html?jahr=2009&amp;print=true&amp;jahr=2009</t>
  </si>
  <si>
    <t>http://www.thehindu.com/business/Industry/ntpc-ties-up-55-m-euro-loan-with-kfw/article5474669.ece</t>
  </si>
  <si>
    <t>http://www.eps.rs/Eng/Article.aspx?lista=Novosti&amp;id=20</t>
  </si>
  <si>
    <t>http://www.ebrd.com/work-with-us/projects/psd/eps-kolubara-environmental-improvement.html</t>
  </si>
  <si>
    <t>http://in.finance.yahoo.com/news/indias-ntpc-raise-72-5-140720866.html</t>
  </si>
  <si>
    <t>http://www.thehindu.com/business/Industry/ntpc-ties-up-95-m-euro-loan-facility-with-kfw/article4860075.ece</t>
  </si>
  <si>
    <t>https://www.kfw.de/KfW-Group/Newsroom/Aktuelles/Pressemitteilungen/Pressemitteilungen-Details_125760.html</t>
  </si>
  <si>
    <t>http://www.presseportal.de/meldung/1409491</t>
  </si>
  <si>
    <t>http://www.engineeringnews.co.za/article/eskom-secures-250m-loan-from-germanys-kfw-ipex-bank-2008-09-10</t>
  </si>
  <si>
    <t>http://www.thehindu.com/todays-paper/tp-national/tp-andhrapradesh/nelatur-power-plant-1st-unit-to-be-ready-by-2013/article2877294.ece</t>
  </si>
  <si>
    <t>https://www.kfw.de/KfW-Group/Newsroom/Aktuelles/Pressemitteilungen/Pressemitteilungen-Details_9553.html</t>
  </si>
  <si>
    <t>http://www.presseportal.de/pm/69662/1281948/kfw-ipex-bank-arranges-660-mw-power-project-in-map-ta-phut-thailand</t>
  </si>
  <si>
    <t>https://ijglobal.com/data/transaction/18406/462mw-aes-angamos-coal-fired-power-plant</t>
  </si>
  <si>
    <t>http://dipbt.bundestag.de/dip21/btd/17/077/1707757.pdf</t>
  </si>
  <si>
    <t>https://ijglobal.com/data/transaction/20222/eren-enerji-coal-fired-power-plant</t>
  </si>
  <si>
    <t>https://ijglobal.com/data/transaction/29775/prime-infrastructure-portfolio-refinancing-2009</t>
  </si>
  <si>
    <t>https://www.kfw-ipex-bank.de/International-financing/KfW-IPEX-Bank/About-KfW-IPEX-Bank/Locations/Singapur/</t>
  </si>
  <si>
    <t>https://ijglobal.com/data/transaction/29382/mahistriky-carbon-and-coal-tar-processing-plant</t>
  </si>
  <si>
    <t>https://www.kfw-ipex-bank.de/Internationale-Finanzierung/KfW-IPEX-Bank/Unternehmen/Auszeichnungen/Deals-of-the-Year-2011/</t>
  </si>
  <si>
    <t>http://www.agaportal.de/pages/aga/projektinformationen/liste.html</t>
  </si>
  <si>
    <t>https://ijglobal.com/data/transaction/20675/mannheim-block-9-chp-coal-fired-expansion</t>
  </si>
  <si>
    <t>http://www.nexi.go.jp/topics/newsrelease/001428.html</t>
  </si>
  <si>
    <t>http://www.nexi.go.jp/topics/newsrelease/004178.html</t>
  </si>
  <si>
    <t>http://nexi.go.jp/topics/en/newsrelease/004421.html</t>
  </si>
  <si>
    <t>http://www.nexi.go.jp/topics/en/newsrelease/004467.html</t>
  </si>
  <si>
    <t>http://www.nexi.go.jp/topics/en/newsrelease/004735.html</t>
  </si>
  <si>
    <t>http://www.nexi.go.jp/topics/en/newsrelease/002169.html</t>
  </si>
  <si>
    <t>http://nexi.go.jp/topics/newsrelease/005476.html</t>
  </si>
  <si>
    <t>http://nexi.go.jp/topics/newsrelease/005256.html</t>
  </si>
  <si>
    <t>http://www.nexi.go.jp/topics/newsrelease/004598.html</t>
  </si>
  <si>
    <t>http://www.nexi.go.jp/topics/en/newsrelease/002150.html</t>
  </si>
  <si>
    <t>http://www.nexi.go.jp/topics/environment/mt_file/11-037.pdf</t>
  </si>
  <si>
    <t>http://www.allenovery.com/news/en-gb/articles/Pages/USD1-4bn-project-financing-of-the-Jorf-Lasfar-power-plant-expansion.aspx</t>
  </si>
  <si>
    <t>http://www.itochu.co.jp/ja/ir/doc/presentation/pdf/ITC110617.pdf</t>
  </si>
  <si>
    <t>https://www.gov.uk/government/uploads/system/uploads/attachment_data/file/222383/uk-export-finance-annual-report-and-accounts-2011-12.pdf</t>
  </si>
  <si>
    <t>https://www.gov.uk/government/uploads/system/uploads/attachment_data/file/207721/ecgd-ukef-annual-report-and-accounts-2012-to-2013.pdf</t>
  </si>
  <si>
    <t>http://www.independent.co.uk/news/uk/politics/coalition-breaks-green-pledge-with-siberian-coal-deal-2376878.html</t>
  </si>
  <si>
    <t>http://www.sace.it/en/about-us/environmental-impact/single-environmental-news/environmental-and-social-impact-assessment-availability-for-the-punta-catalina-project</t>
  </si>
  <si>
    <t>http://ifcext.ifc.org/ifcext/spiwebsite1.nsf/ProjectDisplay/SPI_DP26466</t>
  </si>
  <si>
    <t>http://ifcext.ifc.org/ifcext/spiwebsite1.nsf/ProjectDisplay/SPI_DP26405</t>
  </si>
  <si>
    <t>http://www.worldbank.org/projects/P118109/mn-mining-infrastructure-investment-supp?lang=en&amp;tab=overview</t>
  </si>
  <si>
    <t>http://ifcext.ifc.org/ifcext/spiwebsite1.nsf/78e3b305216fcdba85257a8b0075079d/eab8e042d643a6ec852576ba000e2b15?opendocument</t>
  </si>
  <si>
    <t>http://www.worldbank.org/projects/P101392/emergency-energy-assistance?lang=en</t>
  </si>
  <si>
    <t>http://www.worldbank.org/projects/P100101/coal-fired-generation-rehabilitation?lang=en&amp;tab=overview</t>
  </si>
  <si>
    <t>http://ifcext.ifc.org/ifcext/spiwebsite1.nsf/ProjectDisplay/SPI_DP28966</t>
  </si>
  <si>
    <t>http://web.worldbank.org/external/projects/main?pagePK=64283627&amp;piPK=73230&amp;theSitePK=40941&amp;menuPK=228424&amp;Projectid=P096389</t>
  </si>
  <si>
    <t>http://www.worldbank.org/projects/P116410/eskom-investment-support-project?lang=en</t>
  </si>
  <si>
    <t>http://www.ifc.org/ifcext/spiwebsite1.nsf/0/6C8635DAD5934D04852576BA000E2D1B</t>
  </si>
  <si>
    <t>http://www.worldbank.org/projects/P122800/ci-egrg-econ-gov-recovery-4?lang=en&amp;tab=overview</t>
  </si>
  <si>
    <t>http://ifcextapps.ifc.org/ifcext/spiwebsite1.nsf/78e3b305216fcdba85257a8b0075079d/b6de0f004c9b8f3b852576c10080cd54?opendocument</t>
  </si>
  <si>
    <t>http://www.worldbank.org/projects/P106580/lptap-additional-financing-1?lang=en</t>
  </si>
  <si>
    <t>http://web.worldbank.org/external/projects/main?Projectid=P115566&amp;theSitePK=40941&amp;piPK=64290415&amp;pagePK=64283627&amp;menuPK=64282134&amp;Type=Overview</t>
  </si>
  <si>
    <t>http://www-wds.worldbank.org/external/default/WDSContentServer/WDSP/IB/2011/02/04/000334955_20110204023727/Rendered/PDF/593910BRI0Bots10Box358280B01PUBLIC1.pdf</t>
  </si>
  <si>
    <t>http://www.worldbank.org/projects/P130091/private-sector-competitiveness?lang=en&amp;tab=overview</t>
  </si>
  <si>
    <t>http://www.worldbank.org/projects/P118916/infrastructure-guarantee-fund?lang=en</t>
  </si>
  <si>
    <t>https://ifcndd.ifc.org/ifcext/spiwebsite1.nsf/78e3b305216fcdba85257a8b0075079d/f31022fd70f070f785257a62005d3f59?opendocument</t>
  </si>
  <si>
    <t>http://www-wds.worldbank.org/external/default/WDSContentServer/WDSP/IB/2014/03/22/000414397_20140324123257/Rendered/PDF/PID0Pakistan0P00DPC0March012002014.pdf</t>
  </si>
  <si>
    <t>https://ifcndd.ifc.org/ifcext/spiwebsite1.nsf/78e3b305216fcdba85257a8b0075079d/7786a0ba1f47451685257c2b00686cd7?opendocument</t>
  </si>
  <si>
    <t>http://www.worldbank.org/projects/P104983/additional-financing-mineral-resources-governance-project?lang=en</t>
  </si>
  <si>
    <t>http://ifcext.ifc.org/ifcext/spiwebsite1.nsf/0/65B4BFB361EC38E8852576BA000E29B4</t>
  </si>
  <si>
    <t>http://ifcext.ifc.org/ifcext/spiwebsite1.nsf/ProjectDisplay/SPI_DP25849</t>
  </si>
  <si>
    <t>http://www.afdb.org/en/news-and-events/article/afdb-supports-eskom-to-construct-and-maintain-transmission-lines-and-power-stations-in-south-africa-15264/</t>
  </si>
  <si>
    <t>http://www.afdb.org/fileadmin/uploads/afdb/Documents/Project-and-Operations/Project_Brief_Nacala_Rail___Port__Project__Multinational_2015.pdf</t>
  </si>
  <si>
    <t>http://www.ebrd.com/work-with-us/projects/psd/eps-restructuring.html</t>
  </si>
  <si>
    <t>http://www.jbic.go.jp/en/information/press/press-2014/0331-37582JAECES Data</t>
  </si>
  <si>
    <t>http://www.ebrd.com/work-with-us/projects/psd/pavlodar-energo.html</t>
  </si>
  <si>
    <t>http://www.ebrd.com/work-with-us/projects/psd/mak.html</t>
  </si>
  <si>
    <t>http://www.ebrd.com/english/pages/project/psd/2008/38016.shtml</t>
  </si>
  <si>
    <t>http://www.ebrd.com/work-with-us/projects/psd/mongolia-mining-corporation.html</t>
  </si>
  <si>
    <t>http://www.ebrd.com/work-with-us/projects/psd/tgk13-capacity-financing-.html</t>
  </si>
  <si>
    <t>http://www.ebrd.com/work-with-us/projects/psd/saturn-biomass-.html</t>
  </si>
  <si>
    <t>http://www.ebrd.com/work-with-us/projects/psd/leighton-mongolia.html</t>
  </si>
  <si>
    <t>http://www.ebrd.com/work-with-us/projects/psd/energy-resources-phase-ii.html</t>
  </si>
  <si>
    <t>http://www.ebrd.com/cs/Satellite?c=Content&amp;cid=1395238880994&amp;pagename=EBRD%2FContent%2FContentLayout</t>
  </si>
  <si>
    <t>http://www.ebrd.com/news/2011/ebrd-extends-energy-efficiency-investments-in-kazakhstan.html</t>
  </si>
  <si>
    <t>http://www.ebrd.com/work-with-us/projects/psd/patnow-ii-refinancing---konin-biomass-.html</t>
  </si>
  <si>
    <t>http://www.ebrd.com/work-with-us/projects/psd/sadovaya-coal-recycling.html</t>
  </si>
  <si>
    <t>http://www.ebrd.com/work-with-us/projects/psd/oltenia---turceni-rehabilitation.html</t>
  </si>
  <si>
    <t>http://www.adb.org/sites/default/files/project-document/150799/48029-001-tar.pdf</t>
  </si>
  <si>
    <t>http://www.adb.org/sites/default/files/projdocs/2008/41946-IND-RRP.pdf</t>
  </si>
  <si>
    <t>The German website cited lists this as a "category 2" project which is defined as projects receiving "up to 50 million euro in cover". Conservatively we have included this as 15 million euros even though it could be up to 50 million since the lower category -- category 1 is for "up to 15 million euros). We converted to USD using the rate at the end of January since no exact date has been provided.</t>
  </si>
  <si>
    <t>Value assumes that Hermes provided cover for the total 81.5 euro KfW loan, since KfW or Hermes don't provide transparenty information.   This project reportedly provided financial cover for a KfW investment in the Medupi power plant also in 2008. It is possilbe that this value double-counts what KfW has provided but since neither KfW or Hermes provide transparent information we have included this value for Hermes as well as the KfW news article touts both financial support separately.</t>
  </si>
  <si>
    <t xml:space="preserve">Value assumes that Hermes provided cover for the total 81.5 euro KfW loan, since KfW or Hermes don't provide transparenty information. This project reportedly provided financial cover for a KfW investment in the Medupi power plant. It is possilbe that this value double-counts what KfW has provided but since neither KfW or Hermes provide transparent information we have included this value for Hermes as well as the KfW news article touts both financial support separately.
</t>
  </si>
  <si>
    <t>The German website cited lists this as a "category 3" project which is defined as projects receiving "up to 100 million euro in cover". Conservatively we have included this as 50 million euros even though it could be up to 100 million since the lower category -- category 2 is for "up to 50 million euros).. We converted to USD using the rate at the end of January since no exact date has been provided.</t>
  </si>
  <si>
    <t>The German website cited lists this as a "category 2" project which is defined as projects receiving "up to 50 million euro in cover". Conservatively we have included this as 15 million euros even though it could be up to 50 million since the lower category -- category 1 is for "up to 15 million euros). We converted to USD using the rate at the end of October since no exact date has been provided.</t>
  </si>
  <si>
    <t xml:space="preserve">The German website cited lists this as a "category 3" project which is defined as projects receiving "up to 100 million euro in cover". Conservatively we have included this as 50 million euros even though it could be up to 100 million since the lower category -- category 2 is for "up to 50 million euros). We converted to USD using the rate at the end of March since no exact date has been provided. </t>
  </si>
  <si>
    <t>The AGA website lists this as a "category 2" project which is defined as projects receiving "up to 50 million euro in cover". Conservatively we have included this as 15 million euros even though it could be up to 50 million since the lower category -- category 1 is for "up to 15 million euros).</t>
  </si>
  <si>
    <t>In response to an inquiry from NRDC on the values staff at SACE pointed out that this loan is for "shipping equipment". However, the investment documentation from SACE clearly states that this is a project for shipping coal so we have documented as a project to support coal mining - exports. This is a similar methodology as we have followed with other investments -- where the investment is directly supportive of a coal project even if the project doesn't explicitly cover a coal mine or coal power plant</t>
  </si>
  <si>
    <t>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t>
  </si>
  <si>
    <t>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t>
  </si>
  <si>
    <t>A' loan of $150 mil, 'B' loan of up to $590 million The project provides financing for construction and operation of circulated fluidized bed technology thermal power units in northern Chile to be fired by a combination of coal, petroleum coke, and biomass fuels.</t>
  </si>
  <si>
    <t>http://sekitan.jp/jbic/wp-content/uploads/2014/01/Lists-of-Approved-Coal-Investments-by-JBIC-April-2015.pdf 
http://www.moneycontrol.com/annual-report/jaiprakashpowerventures/directors-report/JHP01
http://www.coalpost.in/power/upcoming-power-projects-in-madhya-pradesh/jaypee-nigrie-super-thermal-power-project/
http://www.coalpost.in/power/upcoming-power-projects-in-madhya-pradesh/jaypee-nigrie-super-thermal-power-project/</t>
  </si>
  <si>
    <t>http://sekitan.jp/jbic/wp-content/uploads/2014/01/Lists-of-Approved-Coal-Investments-by-JBIC-April-2015.pdf
http://www.sourcewatch.org/index.php/Vinh_Tan_power_station</t>
  </si>
  <si>
    <t>http://sekitan.jp/jbic/wp-content/uploads/2014/01/Lists-of-Approved-Coal-Investments-by-JBIC-April-2015.pdf
http://www.talkvietnam.com/2014/03/generating-unit-4-under-haiphong-thermal-power-plant-connected-to-national-grid/</t>
  </si>
  <si>
    <t>http://www.adb.org/news/adb-lending-450m-first-ultra-mega-power-project-india
http://www.adb.org/sites/default/files/projdocs/2008/41946-IND-RRP.pdf</t>
  </si>
  <si>
    <t>Coal-to-liquids
Annual emissions data provided by SACE</t>
  </si>
  <si>
    <t xml:space="preserve">The total project cost is estimated to be $73 million; the IFC loan is for $25 million. The investment is targeted at several aspects of the company's business including a 30-MW captive power plant.
Manufacturing project that includes power generation. Some of the proceeds of IFC’s loan supported a captive power plant supporting Electrotherm’s steel business. </t>
  </si>
  <si>
    <t>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t>
  </si>
  <si>
    <t xml:space="preserve">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t>
  </si>
  <si>
    <t xml:space="preserve">Total Financing - IDA ($8.0 m.). As stated on the World Bank website under 'Details' - 'Sectors': Central government administration - 68%, Sub-national government administration - 18%, Coal Mining - 14%. Amount included is 8,000,000 * .14=$1,120,000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Bank Response: The project did not finance anything related to coal.  Madagascar has one potential coal deposit but it was not developed. </t>
  </si>
  <si>
    <t>http://www-wds.worldbank.org/external/default/WDSContentServer/WDSP/IB/2011/02/04/000020953_20110204090502/Rendered/PDF/594270PID0MN0mining0infrastructure0rev.pdf Tavan Tolgoi mine has a total estimated resource of 6.4 billion tonnes (see: http://en.wikipedia.org/wiki/Tavan_Tolgoi).</t>
  </si>
  <si>
    <t>25 mil Loan with 45% to energy. "The Government of Mongolia is poised to develop several major mineral deposits in Southern Mongolia, including copper and gold at Oyu Tolgoi (OT), and coal at Tavan Tolgoi (TT), Nariin Sukhait and elsewhere".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This project supports only infrastructure, in particular water in South Gobi.  There is no direct support to coal mining. (NRDC mentions Tavan Tolgoi coal mine which is incorrect.)</t>
  </si>
  <si>
    <t xml:space="preserve">Total Financing - $150 mil loan. As stated on the World Bank website under 'Details' - 'Sectors': Coal Mining - 7%. Amount included is $150 mil * .07 =$21,000,000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No link to coal. Wrong sector coding. There is no coal or coal mining in Cote D’Ivoire. </t>
  </si>
  <si>
    <t>http://www-wds.worldbank.org/external/default/WDSContentServer/WDSP/IB/2014/04/11/000442464_20140411094222/Rendered/PDF/860310PGD0P128000Box385177B00OUO090.pdf</t>
  </si>
  <si>
    <t>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t>
  </si>
  <si>
    <t>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t>
  </si>
  <si>
    <t>Equity investment in ACWA Power / International Company for Water and Power projects includes support for a 270 MW coal power plant in Mozambique and a 450 MW coal power plant in South Africa.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Bank Response: IFC’s financing agreements explicitly state that IFC funds cannot be used in ACWA coal projects. Funds from the IFC disbursement to ACWA were used in renewable energy projects. Note: ACWA’s coal projects have yet to reach financial close.</t>
  </si>
  <si>
    <t xml:space="preserve">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
Project aimed to increase the volume, reliability of national energy supply in winter through rehab of electricity and heat systems in Power Plant
Company, including provision of low sulfur fuel oil to the Bishkek and Osh combined heat and power plants
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t>
  </si>
  <si>
    <t xml:space="preserve">Hanson Pressure Pipe helps cool advanced power plant in Mexico. Concrete Products [serial online]. October 2008;111(10):PC12-PC14. Available from: Business Source Complete, Ipswich, MA. Accessed August 17, 2015. Reporting from JBIC don't make this clear but Mitsubishi was commissioned for the project by the Mexican electricity company and Mitsubishi press releases state that they were seeking JBIC and NEXI funding </t>
  </si>
  <si>
    <t>http://sekitan.jp/jbic/wp-content/uploads/2014/01/Lists-of-Approved-Coal-Investments-by-JBIC-April-2015.pdf
http://www.mhi.co.jp/en/news/sec1/200602071095.html</t>
  </si>
  <si>
    <t xml:space="preserve">JBIC release doesn't mention the exact project name, but it lists the location which coincides with this new power plant (see: http://articles.economictimes.indiatimes.com/2013-09-07/news/41855049_1_coal-supply-pspcl-power-plant). The JBIC press release doesn't list the exact Japanese recipient but Mitsubishi is reported to have installed the turbines </t>
  </si>
  <si>
    <t xml:space="preserve">http://sekitan.jp/jbic/wp-content/uploads/2014/01/Lists-of-Approved-Coal-Investments-by-JBIC-April-2015.pdf
http://www.larsentoubro.com/lntcorporate/common/ui_templates/HtmlContainer.aspx?res=P_PDL_BOPR_DIMS1
</t>
  </si>
  <si>
    <t xml:space="preserve">http://sekitan.jp/jbic/wp-content/uploads/2014/01/Lists-of-Approved-Coal-Investments-by-JBIC-April-2015.pdf
http://www.jlec.ma/en/jlec.aspx?m=6&amp;r=93 </t>
  </si>
  <si>
    <t>Unit 5 in December 2013 and Unit 6 in April 2014.</t>
  </si>
  <si>
    <t>http://sekitan.jp/jbic/wp-content/uploads/2014/01/Lists-of-Approved-Coal-Investments-by-JBIC-April-2015.pdf
https://www.jetro.go.jp/world/asia/vn/petrovietnam/pdf/201109_II-1.pdf</t>
  </si>
  <si>
    <t>Loan agreement to set up an export credit line amounting up to approximately JPY8.1 billion (JBIC portion) and approximately USD12 million (JBIC portion); Super critical pressure coal-fired power plant (660 MW × 2 units) in Meja, Uttar Pradesh Province located in the northern India</t>
  </si>
  <si>
    <t>http://www.sourcewatch.org/index.php/Meja_Thermal_Power_Project#cite_note-ip-4
http://sekitan.jp/jbic/wp-content/uploads/2014/01/Lists-of-Approved-Coal-Investments-by-JBIC-April-2015.pdf</t>
  </si>
  <si>
    <t>Amount of loan is USD1,566,000,000 -  but JBIC provided political risk guarantee for remaining total, so total amount financed by JBIC may be higher. Loan amount was for $2.7 billion. The investment is for the IPP company for 3 power plant projects. Two of the plants are coal-fired while the 3rd is gas-fired. JBIC investment is for 20% of the gas-fired power plant and 100% equity of the other 2.</t>
  </si>
  <si>
    <t>http://sekitan.jp/jbic/wp-content/uploads/2015/02/jbiccoallisten.pdf
http://www.jbic.go.jp/en/about/press/2007/0607-03/attach1%201%200607%20.pdf</t>
  </si>
  <si>
    <t>Trial production started in 2013. Commercial operation in 2014 359,000tpa Aluminium Smelter and 900MW Captive Power Plant, Amount found here in second source.</t>
  </si>
  <si>
    <t>http://www.edc.ca/EN/About-Us/Disclosure/Reporting-on-Transactions/Documents/project-summary-mahan.pdf
http://www.business-standard.com/article/companies/canadian-agency-to-grant-hindalco-100-mn-for-mp-project-112120800070_1.htmlhttp://webcache.googleusercontent.com/search?q=cache:Priq32rIVoMJ:www.mydigitalfc.com/news/hindalco-bets-big-utkal-mahan-plants-raise-output-083&amp;hl=en&amp;gl=us&amp;strip=1</t>
  </si>
  <si>
    <t>http://www.exim.gov/about/library/reports/annualreports/2013/FY2013-long-term-guarantees-auth.pdf
http://action.sierraclub.org/site/DocServer/Tolgoi_assessment_Final.pdf?docID=11801</t>
  </si>
  <si>
    <t xml:space="preserve">An IFC disclosure document describes the project as almost exclusively coal-focused: "The project will enable evacuation and export of the coal produced by the Moatize coal mine." </t>
  </si>
  <si>
    <t>Siemens reportedly received a AUD $10 million contract for this terminal. Since KfW doesn't publish data regularly we have assumed the entire Siemens award has been guaranteed by KfW so the total value reflects that amount</t>
  </si>
  <si>
    <t>http://www.longwalls.com/storyview.asp?storyid=1002411
http://www.longwalls.com/storyview.asp?storyid=1002411
http://www.siemens.com.au/files/SiteCollectionDocuments/aunz_business_overview.pdf
http://www.longwalls.com/storyview.asp?storyid=1002411</t>
  </si>
  <si>
    <t>http://www.nexi.go.jp/topics/environment/mt_file/06-034.pdf
http://www.talkvietnam.com/2014/03/generating-unit-4-under-haiphong-thermal-power-plant-connected-to-national-grid/ 
http://www.nexi.go.jp/sitemap/404.html http://www.nexi.go.jp/sitemap/404.html 
http://www.nexi.go.jp/sitemap/404.html</t>
  </si>
  <si>
    <t>EDC only lists project values in ranges. For this project they listed it as 250-500 million Canadian dollars. Amount from this article is $300,000,000, consistent with the range on the second source.</t>
  </si>
  <si>
    <t>http://www19.edc.ca/publications/2013/2012csr/english/10-3.shtml
http://www.reuters.com/article/2012/03/02/idUSL4E8E21NU20120302</t>
  </si>
  <si>
    <t>According to a report from Wiggins Island Coal Export Terminal Pty Limited: "In the financing, US$780million (26% of total senior debt) and US$50million (10% of the subordinated debt) was provided by (or in EFIC’s case supported by) sovereign export credit agencies or government supported financiers from Korea, Germany, China, Canada and Australia</t>
  </si>
  <si>
    <t>https://www.kfw-ipex-bank.de/Internationale-Finanzierung/KfW-IPEX-Bank/Unternehmen/Auszeichnungen/Deals-of-the-Year-2011/
http://www.efic.gov.au/about/Documents/WICET-supports-EFIC.pdf?utm_source=seo&amp;utm_medium=PC-support-letters&amp;utm_campaign=seo-efic-PC-support-letters-WICET-lk-120319</t>
  </si>
  <si>
    <t xml:space="preserve">Partial risk guarantee for coal-fired power project investment in Nigeria. Official project information not available on AfDB website, but transaction was widely reported in Nigerian press:
</t>
  </si>
  <si>
    <t>http://www.post-nigeria.com/afdb-pumps-200m-into-nigerias-coal-to-power-production/
http://www.esi-africa.com/news/coal-to-power-afdb-commits-200m-to-nigerias-dirty-fuel/
http://guardian.ng/news/afdb-pledges-200m-support-for-coal-to-power-projects/?ak_action=reject_mobile</t>
  </si>
  <si>
    <t xml:space="preserve">Coal-focused rail and port / terminal infrastructure project. The project will increase coal transportation capacity to up to 22  MTPA. 
An IFC disclosure document describes the project as almost exclusively coal-focused: "The project will enable evacuation and export of the coal produced by the Moatize coal mine." </t>
  </si>
  <si>
    <t>http://www.vale.com/EN/aboutvale/news/Pages/african-development-bank-aprova-suporte-corredor-logistico-nacala.aspx
http://www.reuters.com/article/nacala-vale-sa-idUSE5N12E00820151218
http://www.afdb.org/fileadmin/uploads/afdb/Documents/Project-and-Operations/Project_Brief_Nacala_Rail___Port__Project__Multinational_2015.pdf
http://ifcextapps.ifc.org/IFCExt%5Cspiwebsite1.nsf/0/3286CE33BF634A7485257F5D005895CD</t>
  </si>
  <si>
    <t>http://www.afdb.org/en/news-and-events/article/afdb-supports-eskom-to-construct-and-maintain-transmission-lines-and-power-stations-in-south-africa-15264/
https://www.treasury.gov/resource-center/international/development-banks/Documents/U.S.%20Position%20on%20the%20AfDB%20ESKOM%20Loan%20to%20South%20Africa%20FINAL.pdf</t>
  </si>
  <si>
    <t xml:space="preserve">http://www.eskom.co.za/Whatweredoing/NewBuild/Pages/Kusile_Power_Station.aspx </t>
  </si>
  <si>
    <t xml:space="preserve">This final loan was made sometime between January and March 2012. We have documented it as February to fall in the middle of that range and used the currency conversion rate for February 14.
The first unit will come online in 2017. </t>
  </si>
  <si>
    <t>Parliamentary Inquiry. Coal-to-liquids</t>
  </si>
  <si>
    <t>Financing for restructing of Serbian state-owned utility EPS, which is lignite-heavy and maintains plans for significant lignite expansion. 
While not exclusively for coal, this investment is included because of EPS lignite expansion plans and lack of prior EBRD investments in EPS resulting in observable changes in supply mix or capacity addition plans.</t>
  </si>
  <si>
    <t>http://www.ebrd.com/news/2015/ebrd-supports-reform-of-serbias-power-sector-with-200-million-loan-to-eps.html
http://bankwatch.org/publications/issues-serbian-electricity-company-eps-need-be-addressed-within - New-ebrd-loan
http://bankwatch.org/bwmail/62/ebrd-digs-deeper-serbian-coal-king</t>
  </si>
  <si>
    <t>EDC only lists project values in ranges. For this project they listed it as 50-100 million Canadian dollar. We have conservatively listed it at 50 million Canadian dollars even though it could be up to 100 million Canadian dollars. Values based upon communication from EDC staff on data that was previously reported on their website. Information from EDC lists that: "Newcastle Coal Infrastructure Group (NCIG) plans to expand the capacity at its Coal Export Terminal from 30 Mtpa to 53 Mtpa." We have listed the difference in coal export capacity as the basis of this NCIG project.
OECD data on export credit support for fossil fuel power plants and fossil fuel extraction projects, 9 October 2014</t>
  </si>
  <si>
    <t>http://www.bloomberg.com/news/articles/2011-09-06/wiggins-said-to-plan-to-sign-3-billion-of-loans-this-month</t>
  </si>
  <si>
    <t>EDC only lists project values in ranges. For this project they listed it as 25-50 million Canadian dollars. Amount used from this article, consistent with the ranges provided</t>
  </si>
  <si>
    <t>In response to Freedom of Information Request from Pacific Environment and Earthjustice</t>
  </si>
  <si>
    <t>http://www.sojitzcoalmining.com/minerva_mine.html</t>
  </si>
  <si>
    <t>Co-financed with Australia and New Zealand Banking Group Limited; JBIC financed amount may be smaller. See source for coal mine size.</t>
  </si>
  <si>
    <t>http://www.jbic.go.jp/en/about/press/2012/0815-01/index.html
www.dsdip.qld.gov.au/assessments-and-approvals/byerwen-coal-project.html</t>
  </si>
  <si>
    <t>Valued as 20% of the Byerwen coal project value of $1.76 billion AUD, see.
The Byerwen Coal mine will produce 10 Mtpa. This acquisition of interest will provide a long term off-take contract of up to 2 Mtpa of coal per year for 10 years.</t>
  </si>
  <si>
    <t>http://www.aquilaresources.com.au/files/MiningNews%20130720121.pdf</t>
  </si>
  <si>
    <t>Two loans: (1) 147 million Australian dollars; and (2) 150 million U.S. dollars. Source for mine size included.</t>
  </si>
  <si>
    <t>http://www.elem.com.mk/index.php?option=com_content&amp;view=article&amp;id=76&amp;Itemid=115&amp;lang=en</t>
  </si>
  <si>
    <t>Reported as 3,800 t/hr. In the press release is written 2007.</t>
  </si>
  <si>
    <t>http://www.irs.gov/Individuals/International-Taxpayers/Yearly-Average-Currency-Exchange-Rates</t>
  </si>
  <si>
    <t>KfW response to Parliament says that in 2007 they invested 104,487,000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
Response to Parliamentary Inquiry in 2013 on total coal funding</t>
  </si>
  <si>
    <t>http://www.bloomberg.com/news/2012-07-27/eon-expects-chile-power-plant-to-proceed-after-losing-injunction.html</t>
  </si>
  <si>
    <t>We can speculate that this is for the Castilla Project as EON -- a german company -- is part owner of this planned project.</t>
  </si>
  <si>
    <t xml:space="preserve">KfW response to Parliament says that in 2008 they invested 578,463,487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
Response to Parliamentary Inquiry in 2013 on total coal funding </t>
  </si>
  <si>
    <t>KfW response to Parliament says that in 2009 they invested 262,364,472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
Response to Parliamentary Inquiry in 2013 on total coal funding</t>
  </si>
  <si>
    <t>KfW response to Parliament says that in 2010 they invested 157,594,078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
Response to Parliamentary Inquiry in 2013 on total coal funding</t>
  </si>
  <si>
    <t>KfW response to Parliament says that in 2012 they invested 174,809,955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t>
  </si>
  <si>
    <t>avg exchange rate for 2014 1.329
German Federal Ministry for Economic Affairs and Energy, (2015)</t>
  </si>
  <si>
    <t>Project doesn't specify the exact type of mining equipment but the Indonesian company receiving the funding is a major Indonesian coal mining company</t>
  </si>
  <si>
    <t>http://www.pamapersada.com/en/</t>
  </si>
  <si>
    <t xml:space="preserve">Unit 3 began in 2011 and Unit 4 began in 2012. </t>
  </si>
  <si>
    <t>http://www.thejakartapost.com/news/2012/02/07/tanjung-jati-power-plants-begin-operation.html</t>
  </si>
  <si>
    <t xml:space="preserve"> http://www.irs.gov/Individuals/International-Taxpayers/Yearly-Average-Currency-Exchange-Rates</t>
  </si>
  <si>
    <t>No specific date was reported by UKEF. It was reported by UKEF as occuring in FY11-12. UK fiscal years run from 1 April to 31 March. We allocated it to calendar year 2011. Currency was converted using the average rate for 2011 from the US Internal Revenue Service.</t>
  </si>
  <si>
    <t>No specific date was reported by UKEF. It was reported by UKEF as occuring in FY12-13. UK fiscal years run from 1 April to 31 March. We allocated it to calendar year 2012. Currency was converted using the average rate for 2011 from the US Internal Revenue Service.</t>
  </si>
  <si>
    <t xml:space="preserve"> http://www-wds.worldbank.org/external/default/WDSContentServer/WDSP/IB/2007/12/05/000020953_20071205105449/Rendered/PDF/415720UA.pdf</t>
  </si>
  <si>
    <t xml:space="preserve">Total Financing - $150 mil loan. As stated on the World Bank website under 'Details' - 'Sectors': Coal Mining - 7%. Amount included is $150 mil * .07 =$21,000,000 
No link to coal. Wrong sector coding. There is no coal or coal mining in Cote D’Ivoire. </t>
  </si>
  <si>
    <t xml:space="preserve">Total Financing - $10 mil loan.  As stated on the World Bank website under 'Details' - 'Sectors': 2% coal mining and 26% Public administration- Energy and mining. Amount included is $10 mil *.28 = 2,800,000.
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t>
  </si>
  <si>
    <t xml:space="preserve">
http://www-wds.worldbank.org/external/default/WDSContentServer/WDSP/IB/2013/06/26/000356161_20130626114537/Rendered/PDF/751170PGD0P131010Box0377356B0OUO090.pdf
http://www-wds.worldbank.org/external/default/WDSContentServer/WDSP/IB/2013/06/13/000001843_20130618125021/Rendered/PDF/PID000Appraisal0Stage000MZ0PRSC9.pdf</t>
  </si>
  <si>
    <t>Financing - IDA ($30.0 m.). Sector: General energy - 25%. General energy sector support includes coordination with the development of the 125 MW Sendou coal power plant
On energy aspects, Government has entered into a performance contract with utility (SENELEC) to reduce distribution losses, increase billing recovery, and strengthen financial management.</t>
  </si>
  <si>
    <t xml:space="preserve">$88 mil Loan and $59 mil equity. The Project is to build plantation-based integrated board and pulp mills at Beihai city in Guangxi, southern China. From the US government's statement: "..the project relies on coal for at least 80 percent of its needs in the expected three years of phase one of the project, and 20 percent thereafter.
Manufacturing project that includes power generation. Coal is expected to provide 20% of the fuel mix in the greenfield pulp and board mill’s cogeneration systems. </t>
  </si>
  <si>
    <t>http://www.adb.org/sites/default/files/projdocs/2008/41958-PHI-RRP.pdf
http://www.adb.org/sites/default/files/projdocs/2008/41958-PHI-RRP.pdf</t>
  </si>
  <si>
    <t>http://www.adb.org/projects/47094-001/main</t>
  </si>
  <si>
    <t>http://bankwatch.org/sites/default/files/comments-EBRD-SEI-28Nov2011.pdf</t>
  </si>
  <si>
    <t>Coal (lignite) fired combined heat and power plant. Assume that the lifetime of the plant is extended. It will not fully comply with EU env. Legislation even after the project, according to the project summary document.</t>
    <phoneticPr fontId="29" type="noConversion"/>
  </si>
  <si>
    <t>Expansion of Eldev coal mine. Mongolyn Alt Corporation (‘MAK’ or the ‘Company’), a medium-sized Mongolian mining company producing coal</t>
    <phoneticPr fontId="29" type="noConversion"/>
  </si>
  <si>
    <t>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t>
  </si>
  <si>
    <t>Equity financing to establish a medium-size coking  coal mining operation at Ukhaa Hudag (UHG) deposit in southern Mongolia.</t>
  </si>
  <si>
    <t>http://www.ebrd.com/pages/project/eia/39820.pdf</t>
  </si>
  <si>
    <t>Upgrade and modernisation as well as life extension of the 809 MW lignite-fired Šoštanj Power Plant existing power plant</t>
    <phoneticPr fontId="29" type="noConversion"/>
  </si>
  <si>
    <t>Replacement of some low efficiency and high carbon intensity units like turbine-generator, boilers and back-up systems</t>
    <phoneticPr fontId="29" type="noConversion"/>
  </si>
  <si>
    <t>The is part of a refinancing package to repay the existing project finance loan given by EBRD in 2005 for a 464 MW lignite-fired power unit and to finance the construction of a new 154 MWt/ 50 MWe biomass boiler</t>
  </si>
  <si>
    <t>http://bankwatch.org/our-work/projects/kolubara-lignite-mine-serbia%20million%20tonnes</t>
  </si>
  <si>
    <t>Development of Coal Energy’s waste coal recycling and beneficiation businesses, as well as mechanisation, energy efficiency and environmental, health &amp; safety (“EHS”) upgrades at its priority mines</t>
    <phoneticPr fontId="29" type="noConversion"/>
  </si>
  <si>
    <t>Financing for the rehabilitation and modernisation of unit 6 of CET Oltenia’s Turceni lignite fired power plant</t>
    <phoneticPr fontId="29" type="noConversion"/>
  </si>
  <si>
    <t xml:space="preserve">The total project cost is estimated to be $73 million; the IFC loan is for $25 million. The investment is targeted at several aspects of the company's business including a 30-MW captive power plant.
Bank response: Manufacturing project that includes power generation. Some of the proceeds of IFC’s loan supported a captive power plant supporting Electrotherm’s steel business. </t>
  </si>
  <si>
    <t xml:space="preserve">Technical Assistance Grant NOTE: While only 16% is specifically listed as being in the "coal mining"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
Bank Response: Project supported lignite policy and use of lignite for power.  </t>
  </si>
  <si>
    <t>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
Bank reponse: Loan was prepaid. Equity stake remains.</t>
  </si>
  <si>
    <t>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Given emphasis on coal in program document, see source, energy portion has been assigned to coal: (.19 * $300 mil = 57,000,000).
Bank response: Reduced the quasi-fiscal deficit in the energy sector in 2006 as a percentage of GDP. New law on energy debt enacted and debt restructuring process started, with outstanding debts from electricity companies reduced</t>
  </si>
  <si>
    <t>The proposed investment by IFC is an A Loan of up to $450 million. IFC is also considering investing up to $50 million in equity as part of its exposure to the project. Additionally, IFC and CGPL are exploring the possibility of syndicating up to about $300 million in B loans for the project. This is financing to construct, operate, and maintain 4,000 MW coal-fired power in five units of 800 MW each on a build-own-operate basis, incorporating supercritical technology to significantly in reducing future power shortages in the country. 
Bank response: Supercritical coal technology (higher efficiency and lower carbon dioxide emissions)</t>
  </si>
  <si>
    <t>21.5 mil Risk Management Guarantee, 25 mil loan. Himadri Chemicals &amp; Industries Limited ("Himadri" or the "Company") is India's largest producer of coal tar pitch which is utilized in the production of aluminum and graphite. 
Bank response: Manufacturing project that includes power generation. This project includes 12 MW of power generation, but the heat source for this is waste heat from the process: it is not a pure coal-based power plant.</t>
  </si>
  <si>
    <t xml:space="preserve">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
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t>
  </si>
  <si>
    <t xml:space="preserve">$242.7 mil partial risk guarantee and $136.4 mil loan. Includes construction of Morupule B power station a 600 MW coal-fired power station, adjacent to the existing Morupule A Power Station near Palapye, in the eastern part of the country; transmission system and water supply system.
Bank response: Project included transmission line and water supply to power plant.  Partial credit guarantee to coal power project. </t>
  </si>
  <si>
    <t>3,750 mil loan with 19% to renewables and efficiency. Amount to coal is .81 * $3,750 mil for financing to the South African public-enterprise Eskom to build the controversial 4,800MW Medupi supercritical coal-fired power plant in the Lephalale, Limpopo Province.
Bank response: Project includes coal power plant. This investment incudes a 100MW wind power project (completed) and a 100MW Concentrated Solar Plant (underway) as well as financing and technical assistance for energy efficiency.</t>
  </si>
  <si>
    <t xml:space="preserve">Loan 26.5 mil, Equity $19.1 mil. The Project will... (iii) enable handling and storage of imported coal in Pakistan in an environmentally responsible manner while ensuring high level of safety as per international standards…
Bank response: An investment in a non-food dry bulk cargo terminal that can handle a variety of minerals including coal. It is being designed to handle bulk cement exports. </t>
  </si>
  <si>
    <t>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
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t>
  </si>
  <si>
    <t>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Bank Response: Among other things, this DPL supported Mozambique becoming EITI compliant and improving mining sector laws. Included a trigger for coverage of the legal framework managing mining and petroleum activities.</t>
  </si>
  <si>
    <t>http://www.afdb.org/en/projects-and-operations/project-portfolio/project/p-za-faa-001/</t>
  </si>
  <si>
    <t>http://www.afdb.org/en/news-and-events/article/afdb-approves-eur-153-million-for-botswana-power-project-5255/</t>
  </si>
  <si>
    <t>http://www.afdb.org/en/news-and-events/article/senior-loan-of-up-to-euro-55-million-to-sendou-power-project-in-senegal-5513/</t>
  </si>
  <si>
    <t>http://www.shiftthesubsidies.org/projects/713</t>
  </si>
  <si>
    <t>http://www.shiftthesubsidies.org/projects/707</t>
  </si>
  <si>
    <t>http://www.eib.org/projects/pipeline/2006/20060248.htm</t>
  </si>
  <si>
    <t>http://www.eib.org/projects/pipeline/2006/20060319.htm</t>
  </si>
  <si>
    <t>http://www.eib.org/infocentre/press/news/topical_briefs/2013-march-01/tes-thermal-power-plant-sostanj-project-slovenia.htm
http://www.eib.org/infocentre/press/releases/all/2007/2007-093-eib-supports-environmental-improvement-in-slovenia.htm</t>
  </si>
  <si>
    <t>http://www.eib.org/projects/pipeline/2006/20060114.htm</t>
  </si>
  <si>
    <t>http://www.eib.org/projects/pipeline/2005/20050177.htm</t>
  </si>
  <si>
    <t>http://www.eib.org/projects/pipeline/2006/20060303.htm</t>
  </si>
  <si>
    <t>http://www.promecon.com/en/power/projects/power-station-in-karlsruhe</t>
  </si>
  <si>
    <t>http://www.eib.org/projects/loans/2007/20070081.htm</t>
  </si>
  <si>
    <t>http://www.eib.org/attachments/pipeline/20070081_nts1_pl.pdf</t>
  </si>
  <si>
    <t>http://www.eib.org/projects/loans/2008/20080679.htm</t>
  </si>
  <si>
    <t>http://www.banktrack.org/manage/ajax/ems_dodgydeals/createPDF/ostroleka_c_coal_and_biomass_power_plant</t>
  </si>
  <si>
    <t>http://www.eib.org/attachments/pipeline/20060319_nts_en.pdf</t>
  </si>
  <si>
    <t>http://www.eib.org/projects/pipeline/2010/20100270.htm</t>
  </si>
  <si>
    <t>http://www.eib.org/projects/loans/2009/20090514.htm</t>
  </si>
  <si>
    <t>http://www.minind.ro/international/printable/ER1/ER1.318.06.pdf</t>
  </si>
  <si>
    <t>Project URL</t>
  </si>
  <si>
    <t>Additional URLs</t>
  </si>
  <si>
    <t>Each project is marked with the type of funding: export credit agency, other public financier, or multilaterial funding.</t>
  </si>
  <si>
    <t>Amount</t>
  </si>
  <si>
    <t>Project Sponsor and Project</t>
  </si>
  <si>
    <t>The project sponsor is listed in this column when identified. The project name or description is provided in the project column.</t>
  </si>
  <si>
    <t>The approval date is provided in this column. If only the year of approval was made publicly available, the approval date was marked as January 1 of that year.</t>
  </si>
  <si>
    <t>http://www.ekathimerini.com/4dcgi/_w_articles_wsite2_1_13/03/2012_432833</t>
  </si>
  <si>
    <t>http://www.sumitomocorp.co.jp/news/detail/id=28906</t>
  </si>
  <si>
    <t>NEXI</t>
  </si>
  <si>
    <t>Export Finance and Insurance Corporation (EFIC)</t>
    <phoneticPr fontId="30" type="noConversion"/>
  </si>
  <si>
    <t>Export Finance and Insurance Corporation (EFIC)</t>
    <phoneticPr fontId="30" type="noConversion"/>
  </si>
  <si>
    <t>Anglo Coal Australia</t>
  </si>
  <si>
    <t>Global</t>
    <phoneticPr fontId="30" type="noConversion"/>
  </si>
  <si>
    <t>Coal Mining</t>
    <phoneticPr fontId="30" type="noConversion"/>
  </si>
  <si>
    <t>Support to Anglo Coal Australia for coal mining activities</t>
  </si>
  <si>
    <t>Support for Anglo Coal Australia activities</t>
  </si>
  <si>
    <t>Ukhaa Khudag coal mine</t>
  </si>
  <si>
    <t>Mongolia</t>
    <phoneticPr fontId="30" type="noConversion"/>
  </si>
  <si>
    <t>Coal Mining</t>
    <phoneticPr fontId="30" type="noConversion"/>
  </si>
  <si>
    <t>Xstrata Coal Queensland</t>
  </si>
  <si>
    <t>Support for coal mining activities by Xstrata Coal Queensland</t>
  </si>
  <si>
    <t>Australia</t>
    <phoneticPr fontId="30" type="noConversion"/>
  </si>
  <si>
    <t>NRW Holdings Ltd</t>
  </si>
  <si>
    <t>Coking coal mining</t>
  </si>
  <si>
    <t>Support for coking coal mining</t>
  </si>
  <si>
    <t>Mining equipment for expansion of the Ukhaa Khudag coal mine in Mongolia; from EFIC 2011 Annual Report</t>
  </si>
  <si>
    <t>Austria</t>
  </si>
  <si>
    <t>Montenegro</t>
  </si>
  <si>
    <t>Denmark</t>
  </si>
  <si>
    <t>Export-Import Bank of Korea (Kexim)</t>
  </si>
  <si>
    <t>GIEG(Gemeng International Energy Group)</t>
    <phoneticPr fontId="30" type="noConversion"/>
  </si>
  <si>
    <t>Doosan Heavy Industry &amp; Construction</t>
    <phoneticPr fontId="30" type="noConversion"/>
  </si>
  <si>
    <t>P.T. Cirebon Electric Power</t>
    <phoneticPr fontId="30" type="noConversion"/>
  </si>
  <si>
    <t>POSCO Power and Doosan Heavy Industries &amp; Construction</t>
    <phoneticPr fontId="30" type="noConversion"/>
  </si>
  <si>
    <t>Daewoo E&amp;C and Mitsui &amp; Co</t>
    <phoneticPr fontId="30" type="noConversion"/>
  </si>
  <si>
    <t>Hyundai E&amp;C</t>
  </si>
  <si>
    <t>Daelim Industrial</t>
  </si>
  <si>
    <t>Doosan Heavy Industries and Construction</t>
  </si>
  <si>
    <t>Nueva Ventanas</t>
    <phoneticPr fontId="30" type="noConversion"/>
  </si>
  <si>
    <t>Acquisition of Skoda Power</t>
  </si>
  <si>
    <t>Naga Power Plant</t>
  </si>
  <si>
    <t>Cirebon Thermal Power Plant Project Expansion</t>
    <phoneticPr fontId="30" type="noConversion"/>
  </si>
  <si>
    <t>Mong Duong 1 Thermal Power Plant Project</t>
  </si>
  <si>
    <t xml:space="preserve">Jorf Lasfar Thermal Power Plant Construction Project </t>
  </si>
  <si>
    <t>Mong Duong 2 Coal Plant</t>
  </si>
  <si>
    <t>Thai Binh 2 Coal Power Plant</t>
  </si>
  <si>
    <t>Vinh Tan 4 Coal-Fired Power Plant Project</t>
  </si>
  <si>
    <t>Chile</t>
    <phoneticPr fontId="30" type="noConversion"/>
  </si>
  <si>
    <t>Czech Republic</t>
    <phoneticPr fontId="30" type="noConversion"/>
  </si>
  <si>
    <t>Indonesia</t>
    <phoneticPr fontId="30" type="noConversion"/>
  </si>
  <si>
    <t>Morocco</t>
    <phoneticPr fontId="30" type="noConversion"/>
  </si>
  <si>
    <t>Amount was $200 million for a turbine manufacturer but unclear on coal proportion of turbines</t>
    <phoneticPr fontId="30" type="noConversion"/>
  </si>
  <si>
    <t>Full co-financing amount is $595 million, with JBIC and Kexim providing political risk insurance for co-finance. Kexim amount is $595 divided by 2.</t>
    <phoneticPr fontId="30" type="noConversion"/>
  </si>
  <si>
    <t>According to ijonline, Kexim provided $340 million as a direct loan and Kexim and Ksure shared an 85% guarantee on 1.5 billion in debt (750,000,000 each).</t>
    <phoneticPr fontId="30" type="noConversion"/>
  </si>
  <si>
    <t>The loan agreements include a $330 million direct loan with KEXIM, $270 million KEXIM guaranteed loan with the Bank of Tokyo-Mitsubishi UFJ, Ltd (BTMU), CITI bank, HSBC bank, Mizuho bank, Standard Chartered Bank (SCB), and Oversea Chinese Banking Corporation (OCBC)" -- see: http://vietnamnews.vn/economy/248733/thermal-power-project-warms-up.html ; Power plant size. See: http://www.aurecongroup.com/en/projects/resources/vinh-tan-2-coal-fired-power-plant.aspx</t>
    <phoneticPr fontId="30" type="noConversion"/>
  </si>
  <si>
    <t>$300 million loan and $155 million coverage; Kexim hasn't provided public information on how much funding they have provided this project. A public news story reports that the total project cost is $1.36 billion of which 85% of the funding is provided by Kexim, K-sure, JBIC, and NEXI. Since we have no way to break the value between these 4 institutions we have given them an equal share of the project (adjusted for the 85% supported by these institutions). We have applied the total value of the direct loan and the loan guarantee.</t>
    <phoneticPr fontId="30" type="noConversion"/>
  </si>
  <si>
    <t>Korea Trade Insurance Corporation (K-sure)</t>
  </si>
  <si>
    <t>POSCO &amp; Doosan</t>
  </si>
  <si>
    <t>Enerjisa (owned by E.ON &amp; Sabanci)</t>
  </si>
  <si>
    <t>Angamos</t>
  </si>
  <si>
    <t>Mong Duong 2 Coal-fired Power Plant</t>
  </si>
  <si>
    <t>Tufanbeyli Mine and Power Plant Development</t>
  </si>
  <si>
    <t>Cochrane Power Plant</t>
  </si>
  <si>
    <t>Shanxi Generation/Coal Mine Project</t>
  </si>
  <si>
    <t>http://www.koreaexim.go.kr/en/bbs/noti/view.jsp?no=9593&amp;bbs_code_id=1316753474007&amp;bbs_code_tp=BBS_2&amp;req_pg=5</t>
  </si>
  <si>
    <t>http://www.koreaexim.go.kr/en/bbs/noti/view.jsp?no=9583&amp;bbs_code_id=1316753474007&amp;bbs_code_tp=BBS_2&amp;req_pg=2;</t>
  </si>
  <si>
    <t>http://www.koreaexim.go.kr/en/bbs/noti/view.jsp?no=9606&amp;bbs_code_id=1316753474007&amp;bbs_code_tp=BBS_2&amp;req_pg=2</t>
  </si>
  <si>
    <t>https://tradefinanceanalytics.com/Articles/3138222/Kexim-finances-EVN-coal-plant-project</t>
  </si>
  <si>
    <t>http://www.koreaexim.go.kr/en/bbs/noti/view.jsp?no=10452&amp;bbs_code_id=1316753474007&amp;bbs_code_tp=BBS_2&amp;req_pg=2;</t>
  </si>
  <si>
    <t>http://www.koreaexim.go.kr/en/bbs/noti/view.jsp?no=11358&amp;bbs_code_id=1316753474007&amp;bbs_code_tp=BBS_2&amp;req_pg=11</t>
  </si>
  <si>
    <t>http://vietnamnews.vn/economy/248733/thermal-power-project-warms-up.html</t>
  </si>
  <si>
    <t>http://www.koreaexim.go.kr/en/banking/export/loan_03_03.jsp</t>
  </si>
  <si>
    <t>http://www.tradefinancemagazine.com/Article/3165573/Search/Results/Jorf-LasfarECA-project-financing.html?Keywords=kexim+coal</t>
  </si>
  <si>
    <t>http://www.koreaexim.go.kr/en/banking/export/loan_03_03.jsp
https://ijglobal.com/articles/76779/mong-duong-2-ipp-vietnam</t>
  </si>
  <si>
    <t>http://www.koreaexim.go.kr/en/banking/export/loan_03_03.jsp
http://www.jbic.go.jp/en/information/press/press-2009/0308-7152</t>
  </si>
  <si>
    <t>From KFEM Data</t>
  </si>
  <si>
    <t>Chile</t>
    <phoneticPr fontId="30" type="noConversion"/>
  </si>
  <si>
    <t>https://ijglobal.com/articles/54667/ij-awards-power-deal-of-the-year;</t>
  </si>
  <si>
    <t>https://www.ksure.or.kr/jsp/common/FileDown.jsp?f_idx=1353916217785.pdf&amp;f_sz=87817</t>
  </si>
  <si>
    <t>https://ijglobal.com/articles/54667/ij-awards-power-deal-of-the-year;
https://ijglobal.com/articles/76779/mong-duong-2-ipp-vietnam</t>
  </si>
  <si>
    <t>https://www.ksure.or.kr/jsp/common/FileDown.jsp?f_idx=1333948986791.pdf&amp;f_sz=4762287
http://www.enerjisa.com.tr/en-US/Media/Pages/PressBulletin_105.aspx</t>
  </si>
  <si>
    <t>https://www.ksure.or.kr/jsp/common/FileDown.jsp?f_idx=1353916217785.pdf&amp;f_sz=87817
https://ijglobal.com/articles/82829/aes-gener-and-mitsubishi-close-cochrane-ipp</t>
  </si>
  <si>
    <t>As Korea Export Insurance Company (KEIC)</t>
    <phoneticPr fontId="30" type="noConversion"/>
  </si>
  <si>
    <t xml:space="preserve">K-Sure doesn't make such information publicly available so we have had to estimate the value of this project where K-Sure has been listed as a financer in several public documents. We have assumed the same level of financing as NEXI provides as the JBIC press release (available here: https://www.jbic.go.jp/en/information/press/press-2012/0328-7393) lists NEXI and K-Sure as the insurance providers for the project.
</t>
    <phoneticPr fontId="30" type="noConversion"/>
  </si>
  <si>
    <t>https://www.ksure.or.kr/english/jsp/customer/CstmrEnvEngDetailInq.jsp?argItem=&amp;argValue=&amp;dv1=a&amp;dv2=z&amp;page=2&amp;idx=158861</t>
  </si>
  <si>
    <t>Spain</t>
  </si>
  <si>
    <t>Sweden</t>
  </si>
  <si>
    <t>Netherlands</t>
  </si>
  <si>
    <t>Royal Bank of Scotland</t>
  </si>
  <si>
    <t>Ratch Australia Corporation Limited</t>
  </si>
  <si>
    <t>Ratch Australia Refinancing 2013</t>
  </si>
  <si>
    <t>Hazelwood Power Finance Pty Ltd</t>
  </si>
  <si>
    <t>International Power Hazelwood Refinancing</t>
  </si>
  <si>
    <t>Hindalco Industries Ltd (HNDL)</t>
  </si>
  <si>
    <t>Mahan Aluminium Complex</t>
  </si>
  <si>
    <t>Calpine Development Holdings Inc</t>
    <phoneticPr fontId="30" type="noConversion"/>
  </si>
  <si>
    <t xml:space="preserve">CDHI Letter of Credit </t>
  </si>
  <si>
    <t>Drax</t>
  </si>
  <si>
    <t>Drax Power Station</t>
  </si>
  <si>
    <t>http://www.ijonline.com/data/transaction/26528/ratch-australia-refinancing-2013</t>
  </si>
  <si>
    <t>http://www.ijonline.com/data/transaction/22187/mahan-aluminium-complex</t>
  </si>
  <si>
    <t>http://www.ijonline.com/data/transaction/25563/cdhi-letter-of-credit</t>
  </si>
  <si>
    <t>http://www.ijonline.com/data/transaction/22456/drax-power-station-refinancing-iii</t>
  </si>
  <si>
    <t>Refinancing of the 2002 non-recourse project facility for International Power's 1,675MW brown coal-fired Hazelwood power station and adjacent long-life brown coal open cut mine in the Latrobe Valley, Victoria, 160km east of Melbourne. The restructured facility merges the previous two-tranche structure - a Aus$445 million Tranche B and a Aus$297 million Tranche A - into a single tranche facility.</t>
  </si>
  <si>
    <t>The Mahan Aluminium Complex Project will include a greenfield a 359-ktpa aluminium smelter and a 900MW captive thermal power plant. The greenfield smelter will be located in Madhya Pradesh state with a total production capacity of 359,000 tons per annum and is expected to start production in December 2011. Financing was signed in March 2011. The debt facility was provided by SBI Capital Markets Ltd, Citi Bank N.A., The Royal Bank of Scotland N.V. and Kotak Mahindra Bank Ltd. who acted as Mandated Lead Arrangers and 31 bank / insurance companies participated in the syndication.</t>
  </si>
  <si>
    <t>Amendment of the letter of credit facility related to CDHI to increase the facility from $200 million to $300 million and extend the maturity from December 11, 2012 to January 2, 2016.</t>
    <phoneticPr fontId="30" type="noConversion"/>
  </si>
  <si>
    <t>Proceeds are to refinancing the development of the 4GW Drax Power Plant located in Selby, North Yorkshire, England. Previous refinancing was done in Jul 2011 and Dec 2005</t>
  </si>
  <si>
    <t>Refinancing facility for a portfolio of power assets in Australia. RATCH-Australia is owned by a major Thai power generation company, Ratchaburi Electricity Generating Holding PCL and Transfield Services Limited, an ASX listed engineering services company. RATCH-Australia is an independent power producer in Australia and owns a portfolio of power generation assets totalling 815 MW. These consist of ownership or an interest in four power stations and three wind farms. All of the assets are owned on a long term basis.</t>
    <phoneticPr fontId="30" type="noConversion"/>
  </si>
  <si>
    <t>Russian Development Bank (VEB)</t>
  </si>
  <si>
    <t>Mechel</t>
  </si>
  <si>
    <t>Elga Coal Complex</t>
  </si>
  <si>
    <t>https://tradefinanceanalytics.com/Articles/3256567/Update-VEB-board-approves-Mechel-project.html?Keywords=coal&amp;Keywords=coal</t>
  </si>
  <si>
    <t>http://www.tradefinancemagazine.com/Article/3256567/Search/Results/Update-VEB-board-approves-Mechel-project.html?Keywords=coal</t>
  </si>
  <si>
    <t>China Development Bank</t>
  </si>
  <si>
    <t>PLN Indonesia</t>
  </si>
  <si>
    <t>Rembang Power Plant</t>
  </si>
  <si>
    <t>Indramayu Coal-fired Power Plant</t>
  </si>
  <si>
    <t>Paiton Power Plant</t>
  </si>
  <si>
    <t>China National Electric Equipment Corporation (CNEEC)</t>
  </si>
  <si>
    <t>GNPower Mariveles Coal-Fired Plant</t>
  </si>
  <si>
    <t>Jhajjar Power Limited (CLP India)</t>
  </si>
  <si>
    <t>CLP Jhajjar Power Plant</t>
  </si>
  <si>
    <t>Sasan UMPP</t>
  </si>
  <si>
    <t>EFT Group</t>
  </si>
  <si>
    <t>Stanari 300 MW Thermal Power Plant</t>
  </si>
  <si>
    <t>Adani Power</t>
  </si>
  <si>
    <t>Vietnam Thai Binh 2 Coal Power Plant</t>
  </si>
  <si>
    <t>China Power International Development Limited Company, Power Corporation (Vietnam National Coal-Natural Industries Corporation)</t>
  </si>
  <si>
    <t>http://www.thejakartapost.com/news/2009/02/25/pln-secures-part-loans-needed-10000-mw-program.html</t>
  </si>
  <si>
    <t>https://ijglobal.com/data/transaction/20681/gnpower-mariveles-coal-fired-plant</t>
  </si>
  <si>
    <t>https://ijglobal.com/data/transaction/21504/clp-jhajjar-power-refinancing</t>
  </si>
  <si>
    <t>http://www.business-standard.com/article/companies/three-banks-to-support-r-power-s-sasan-project-110121500101_1.html</t>
  </si>
  <si>
    <t>http://www.reuters.com/article/2011/08/05/vietnam-energy-plant-idAFL3E7J541T20110805</t>
  </si>
  <si>
    <t>http://www.tradefinancemagazine.com/Article/3007685/Search/Results/Vung-Ang-1ECA-backed-financing.html?Keywords=euler+hermes+power&amp;PageMove=2</t>
  </si>
  <si>
    <t>http://www.eft-group.net/index.php/news/single/62/EFT-and-China-Development-Bank-in-EUR-350-million-financing-deal-for-Stanari-TPP</t>
  </si>
  <si>
    <t>https://ijglobal.com/data/transaction/33000/1200mw-vinh-tan-1-coal-fired-thermal-power-plant</t>
  </si>
  <si>
    <t>Bosnia &amp; Herzegovina</t>
  </si>
  <si>
    <t>"The loan agreements include a $330 million direct loan with KEXIM, $270 million KEXIM guaranteed loan with the Bank of Tokyo-Mitsubishi UFJ, Ltd (BTMU), CITI bank, HSBC bank, Mizuho bank, Standard Chartered Bank (SCB), and Oversea Chinese Banking Corporation (OCBC), along with a $195.25 million commercial loan with BTMU, China Development Bank (CDB), CITI bank, HSBC, Mizuho, OCBC and SCB" -- see: http://vietnamnews.vn/economy/248733/thermal-power-project-warms-up.html  We have applied the split the "commercial loan" between the 7 listed institutions. ; For plant size see: http://www.aurecongroup.com/en/projects/resources/vinh-tan-2-coal-fired-power-plant.aspx</t>
    <phoneticPr fontId="30" type="noConversion"/>
  </si>
  <si>
    <t>Zambia</t>
  </si>
  <si>
    <t>China Exim Bank</t>
  </si>
  <si>
    <t>China ExIm Bank</t>
  </si>
  <si>
    <t>Government of Sri Lanka</t>
  </si>
  <si>
    <t>Raj Westpower</t>
  </si>
  <si>
    <t>An Khanh Electricity</t>
  </si>
  <si>
    <t>Sinopec Engineering</t>
  </si>
  <si>
    <t>Sepco III</t>
  </si>
  <si>
    <t>China Machinery Engineering</t>
  </si>
  <si>
    <t>Norochcholai</t>
  </si>
  <si>
    <t>Raj Westpower power plant</t>
  </si>
  <si>
    <t>Aceh Power Plant</t>
  </si>
  <si>
    <t>Pelapuhan Ratu Power Plant</t>
  </si>
  <si>
    <t>Suralaya Unit 8 power plant</t>
  </si>
  <si>
    <t>Vietnam coal-fired power project</t>
  </si>
  <si>
    <t>Summit IGCC Plant Odessa Texas</t>
  </si>
  <si>
    <t>Kostolac B2 (retrofit), Kostolac B3 (new), and expansion of Drmno mine</t>
  </si>
  <si>
    <t>http://powermin.gov.lk/english/?page_id=1517</t>
  </si>
  <si>
    <t>https://ijglobal.com/data/transaction/19866/1080mw-raj-westpower-power-plant</t>
  </si>
  <si>
    <t>https://ijglobal.com/data/transaction/20609/aceh-power-plant</t>
  </si>
  <si>
    <t>https://ijglobal.com/data/transaction/19214/pelapuhan-ratu-power-plant</t>
  </si>
  <si>
    <t>https://ijglobal.com/data/transaction/28781/100mw-vietnam-coal-fired-power-project</t>
  </si>
  <si>
    <t>http://www.tradefinancemagazine.com/Article/3090959/Search/Results/China-Exim-provides-loan-for-Texas-IGCC-plant.html?Keywords=coal+plant+finance&amp;PageMove=2</t>
  </si>
  <si>
    <t>http://news.xinhuanet.com/english/africa/2013-07/26/c_132577824.htm</t>
  </si>
  <si>
    <t>http://www.bloomberg.com/news/2012-09-27/serbia-will-seek-chinese-funding-to-expand-kostolac-power-plant.html</t>
  </si>
  <si>
    <t>Sri Lanka</t>
  </si>
  <si>
    <t>Coal Power Plant - Existing and New</t>
  </si>
  <si>
    <t>Source for power plant size: http://www.sourcewatch.org/index.php/Nagan_Raya_power_station</t>
    <phoneticPr fontId="30" type="noConversion"/>
  </si>
  <si>
    <t>Source for power plant size: http://www.nationmultimedia.com/aec/Coal-fired-plants-to-boost-power-supply-this-year-30197706.html</t>
    <phoneticPr fontId="30" type="noConversion"/>
  </si>
  <si>
    <t>This project was repordetly agreed earlier but was put on hold after the financial collapse. This date coincides with when they announced that the project would continue.</t>
  </si>
  <si>
    <t>NRDC:This project was repordetly agreed earlier but was put on hold after the financial collapse. This date coincides with when they announced that the project would continue.</t>
    <phoneticPr fontId="30" type="noConversion"/>
  </si>
  <si>
    <t>NRDC:
Media reports indicate that it may be upwards of $1 billion (see: http://ghgnews.com/index.cfm/at-the-major-ccs-projects-tcep-secarb-wa-parish-kemper/).</t>
    <phoneticPr fontId="30" type="noConversion"/>
  </si>
  <si>
    <t>http://www.asiaviews.org/business/8-on-business/17782-onbusinessalias3107?tmpl=component&amp;print=1&amp;page=</t>
  </si>
  <si>
    <t>http://www.chinadaily.com.cn/xinhua/2013-10-31/content_10471623.html
http://china.aiddata.org/projects/33452?iframe=y</t>
  </si>
  <si>
    <t>Malawi</t>
  </si>
  <si>
    <t>Government of Malawi</t>
  </si>
  <si>
    <t xml:space="preserve">Gezouba International </t>
  </si>
  <si>
    <t>Tuzla 7</t>
  </si>
  <si>
    <t>http://bankwatch.org/news-media/blog/public-bosnia-herzegovina-pay-shaky-economics-tuzla-7-coal-plant-will-officials-take</t>
  </si>
  <si>
    <t xml:space="preserve">Loan conditionality under negotiation. There is a 50 mil EUR difference between the figures for preferred buyers' credit and buyers' credit </t>
  </si>
  <si>
    <t>China Export &amp; Credit Insurance Corporation (Sinosure)</t>
  </si>
  <si>
    <t>Sindh Engro Coal Mining Company</t>
  </si>
  <si>
    <t> The Port Qasim Electric Power Company </t>
  </si>
  <si>
    <t>http://www.mofcom.gov.cn/article/i/jyjl/j/201603/20160301276410.shtml</t>
  </si>
  <si>
    <t>http://www.eximbank.gov.cn/tm/Newdetails/index.aspx?nodeid=343&amp;page=ContentPage&amp;categoryid=0&amp;contentid=27175</t>
  </si>
  <si>
    <t>Coal - New</t>
  </si>
  <si>
    <t>Reliance Power</t>
  </si>
  <si>
    <t>Coal Power - New</t>
  </si>
  <si>
    <t>http://power.in-en.com/html/power-860048.shtml</t>
  </si>
  <si>
    <t>http://news.163.com/09/0504/21/58GIG9FA000120GU.html</t>
  </si>
  <si>
    <t>http://www.mofcom.gov.cn/article/i/jyjl/j/201304/20130400078299.shtml</t>
  </si>
  <si>
    <t>Cilacap coal-fired power plant</t>
  </si>
  <si>
    <t>http://www.sourcewatch.org/index.php/Cilacap_Sumber_power_station</t>
  </si>
  <si>
    <t>Sinar Mas Group</t>
  </si>
  <si>
    <t>http://www.sourcewatch.org/index.php/Sinar_Mas_Jambi_power_station</t>
  </si>
  <si>
    <t xml:space="preserve">Coal Power Plant - New </t>
  </si>
  <si>
    <t xml:space="preserve">http://www.chinamachinex.com/electricity/india/122.html;
</t>
  </si>
  <si>
    <t>NIB</t>
  </si>
  <si>
    <t>Afghanistan</t>
  </si>
  <si>
    <t>Albania</t>
  </si>
  <si>
    <t>Algeria</t>
  </si>
  <si>
    <t>Angola</t>
  </si>
  <si>
    <t>Antigua and Barbuda</t>
  </si>
  <si>
    <t>Argentina</t>
  </si>
  <si>
    <t>Armenia</t>
  </si>
  <si>
    <t>Azerbaijan</t>
  </si>
  <si>
    <t>Bahamas, The</t>
  </si>
  <si>
    <t>Bahrain</t>
  </si>
  <si>
    <t>Barbados</t>
  </si>
  <si>
    <t>Belarus</t>
  </si>
  <si>
    <t>Belgium</t>
  </si>
  <si>
    <t>Belize</t>
  </si>
  <si>
    <t>Benin</t>
  </si>
  <si>
    <t>Bhutan</t>
  </si>
  <si>
    <t>Bolivia</t>
  </si>
  <si>
    <t>Brunei Darussalam</t>
  </si>
  <si>
    <t>Bulgaria</t>
  </si>
  <si>
    <t>Burkina Faso</t>
  </si>
  <si>
    <t>Burundi</t>
  </si>
  <si>
    <t>Cambodia</t>
  </si>
  <si>
    <t>Cameroon</t>
  </si>
  <si>
    <t>Cape Verde</t>
  </si>
  <si>
    <t>Central African Republic</t>
  </si>
  <si>
    <t>Chad</t>
  </si>
  <si>
    <t>Comoros</t>
  </si>
  <si>
    <t>Congo, Democratic Republic of</t>
  </si>
  <si>
    <t>Congo, Republic of</t>
  </si>
  <si>
    <t>Costa Rica</t>
  </si>
  <si>
    <t>Cyprus</t>
  </si>
  <si>
    <t>Czech Republic</t>
  </si>
  <si>
    <t> 1,293,922,083  </t>
  </si>
  <si>
    <t>Djibouti</t>
  </si>
  <si>
    <t>Dominica</t>
  </si>
  <si>
    <t>Ecuador</t>
  </si>
  <si>
    <t>Egypt, Arab Republic of</t>
  </si>
  <si>
    <t>El Salvador</t>
  </si>
  <si>
    <t>Equatorial Guinea</t>
  </si>
  <si>
    <t>Eritrea</t>
  </si>
  <si>
    <t>Estonia</t>
  </si>
  <si>
    <t>56,254,434  </t>
  </si>
  <si>
    <t>Ethiopia</t>
  </si>
  <si>
    <t>Fiji</t>
  </si>
  <si>
    <t>Finland</t>
  </si>
  <si>
    <t>1,088,148,207  </t>
  </si>
  <si>
    <t>Gabon</t>
  </si>
  <si>
    <t>Gambia, The</t>
  </si>
  <si>
    <t>Georgia</t>
  </si>
  <si>
    <t>Ghana</t>
  </si>
  <si>
    <t>Grenada</t>
  </si>
  <si>
    <t>Guatemala</t>
  </si>
  <si>
    <t>Guinea</t>
  </si>
  <si>
    <t>Guinea-Bissau</t>
  </si>
  <si>
    <t>Guyana</t>
  </si>
  <si>
    <t>Haiti</t>
  </si>
  <si>
    <t>Honduras</t>
  </si>
  <si>
    <t>Hungary</t>
  </si>
  <si>
    <t>Iceland</t>
  </si>
  <si>
    <t>58,075,722 </t>
  </si>
  <si>
    <t>Iran, Islamic Republic of</t>
  </si>
  <si>
    <t>Iraq</t>
  </si>
  <si>
    <t>Ireland</t>
  </si>
  <si>
    <t>Jamaica</t>
  </si>
  <si>
    <t>Jordan</t>
  </si>
  <si>
    <t>Kenya</t>
  </si>
  <si>
    <t>Kiribati</t>
  </si>
  <si>
    <t>Korea, Republic of</t>
  </si>
  <si>
    <t>Kuwait</t>
  </si>
  <si>
    <t>Lao People's Democratic Republic</t>
  </si>
  <si>
    <t>Latvia</t>
  </si>
  <si>
    <t>82,072,738  </t>
  </si>
  <si>
    <t>Lebanon</t>
  </si>
  <si>
    <t>Lesotho</t>
  </si>
  <si>
    <t>Liberia</t>
  </si>
  <si>
    <t>Libya</t>
  </si>
  <si>
    <t>Liechtenstein</t>
  </si>
  <si>
    <t>Lithuania</t>
  </si>
  <si>
    <t>119,795,914 </t>
  </si>
  <si>
    <t>Luxembourg</t>
  </si>
  <si>
    <t>Macedonia, FYR</t>
  </si>
  <si>
    <t>Maldives</t>
  </si>
  <si>
    <t>Mali</t>
  </si>
  <si>
    <t>Malta</t>
  </si>
  <si>
    <t>Marshall Islands</t>
  </si>
  <si>
    <t>Mauritania</t>
  </si>
  <si>
    <t>Mauritius</t>
  </si>
  <si>
    <t>Micronesia, Federated States of</t>
  </si>
  <si>
    <t>Moldova</t>
  </si>
  <si>
    <t>Namibia</t>
  </si>
  <si>
    <t>Nepal</t>
  </si>
  <si>
    <t>New Zealand</t>
  </si>
  <si>
    <t>Nicaragua</t>
  </si>
  <si>
    <t>Niger</t>
  </si>
  <si>
    <t>Norway</t>
  </si>
  <si>
    <t>1,320,805,204 </t>
  </si>
  <si>
    <t>Oman</t>
  </si>
  <si>
    <t>Palau</t>
  </si>
  <si>
    <t>Panama</t>
  </si>
  <si>
    <t>Papua New Guinea</t>
  </si>
  <si>
    <t>Paraguay</t>
  </si>
  <si>
    <t>Peru</t>
  </si>
  <si>
    <t>Portugal</t>
  </si>
  <si>
    <t>Qatar</t>
  </si>
  <si>
    <t>Russian Federation</t>
  </si>
  <si>
    <t>Rwanda</t>
  </si>
  <si>
    <t>Samoa</t>
  </si>
  <si>
    <t>San Marino</t>
  </si>
  <si>
    <t>Sao Tome and Principe</t>
  </si>
  <si>
    <t>Saudi Arabia</t>
  </si>
  <si>
    <t>Seychelles</t>
  </si>
  <si>
    <t>Sierra Leone</t>
  </si>
  <si>
    <t>Singapore</t>
  </si>
  <si>
    <t>Slovak Republic</t>
  </si>
  <si>
    <t>Solomon Islands</t>
  </si>
  <si>
    <t>Somalia</t>
  </si>
  <si>
    <t>South Sudan</t>
  </si>
  <si>
    <t>St. Kitts and Nevis</t>
  </si>
  <si>
    <t>St. Lucia</t>
  </si>
  <si>
    <t>St. Vincent and the Grenadines</t>
  </si>
  <si>
    <t>Sudan</t>
  </si>
  <si>
    <t>Suriname</t>
  </si>
  <si>
    <t>Swaziland</t>
  </si>
  <si>
    <t>2,122,828,784 </t>
  </si>
  <si>
    <t>Switzerland</t>
  </si>
  <si>
    <t>Syrian Arab Republic</t>
  </si>
  <si>
    <t>Tanzania</t>
  </si>
  <si>
    <t>Timor-Leste</t>
  </si>
  <si>
    <t>Togo</t>
  </si>
  <si>
    <t>Tonga</t>
  </si>
  <si>
    <t>Trinidad and Tobago</t>
  </si>
  <si>
    <t>Tunisia</t>
  </si>
  <si>
    <t>Turkmenistan</t>
  </si>
  <si>
    <t>Tuvalu</t>
  </si>
  <si>
    <t>Uganda</t>
  </si>
  <si>
    <t>United Arab Emirates</t>
  </si>
  <si>
    <t>Uruguay</t>
  </si>
  <si>
    <t>Uzbekistan</t>
  </si>
  <si>
    <t>Vanuatu</t>
  </si>
  <si>
    <t>Venezuela, Republica Bolivariana de</t>
  </si>
  <si>
    <t>Yemen, Republic of</t>
  </si>
  <si>
    <t>Zimbabwe</t>
  </si>
  <si>
    <t>European Investment Bank (external link)</t>
  </si>
  <si>
    <t>Source: https://finances.worldbank.org/Shareholder-Equity/IBRD-Percentage-of-Total-Shares-by-Country/rnib-fv94
(acessed May 26, 2016)</t>
  </si>
  <si>
    <t>Source: https://finances.worldbank.org/Shareholder-Equity/IDA-Voting-Power/4g6v-z4mt (accessed June 1, 2016)</t>
  </si>
  <si>
    <t>Source: http://siteresources.worldbank.org/BODINT/Resources/278027-1215524804501/IFCCountryVotingTable.pdf (data as of March 31, 2016; accessed June 1, 2016)</t>
  </si>
  <si>
    <t>Source: http://www.ebrd.com/pages/about/who/shareholders.shtml
(acessed May 26, 2016)</t>
  </si>
  <si>
    <t>Source: http://www.adb.org/documents/adb-annual-report-2015; http://www.adb.org/sites/default/files/institutional-document/182852/oi-appendix1.xlsx
(data as of Dec. 31, 2015; accessed May 26, 2016)</t>
  </si>
  <si>
    <t>Source: http://www.afdb.org/fileadmin/uploads/afdb/Documents/Boards-Documents/ADB_-_Voting_Powers_31-03-16.pdf (data as of March 31, 2016; accessed May 27, 2016)</t>
  </si>
  <si>
    <t>Source: http://www.iadb.org/en/about-us/capital-stock-and-voting-power,3166.html (accessed May 27, 2016)</t>
  </si>
  <si>
    <t>Source: http://www.eib.org/about/structure/shareholders/ (accessed May 27, 2016)</t>
  </si>
  <si>
    <t>Source: http://www.nib.int/about_nib/capital_structure/authorised_capital (accessed May 27, 2016)</t>
  </si>
  <si>
    <t>Export Finance and Insurance Corporation (EFIC)</t>
  </si>
  <si>
    <t xml:space="preserve">Global </t>
  </si>
  <si>
    <t xml:space="preserve">Coal Mining </t>
  </si>
  <si>
    <t>Bank Support Clinets</t>
  </si>
  <si>
    <t>Mining/ coking coal</t>
  </si>
  <si>
    <t>http://www.efic.gov.au/media/1845/efic-annual-report-2013-2014_digital.pdf</t>
  </si>
  <si>
    <t>http://www.cp-africa.com/2016/03/24/mozambique-coal-fired-power-project-seek-lenders/</t>
  </si>
  <si>
    <t>ACWA Power</t>
  </si>
  <si>
    <t>http://www.koreatimes.co.kr/www/news/biz/2015/11/123_192083.html</t>
  </si>
  <si>
    <t>Equipment provided by Shanghai Electric Power; Bank of China, China Exim Bank, and China Development Bank together invested $10 billion in this project. No readily available data was found on the breakout so we assumed that each bank invested an equal share.</t>
  </si>
  <si>
    <t>Majority State-Owned Banks</t>
  </si>
  <si>
    <t xml:space="preserve">Export-Import Bank of Korea (Kexim) </t>
  </si>
  <si>
    <t xml:space="preserve">Brazil </t>
  </si>
  <si>
    <t>South Korea</t>
  </si>
  <si>
    <t>source: https://finances.worldbank.org/Shareholder-Equity/IBRD-Percentage-of-Total-Shares-by-Country/rnib-fv94
(acessed May 26, 2016)</t>
  </si>
  <si>
    <t>can we drop the Czech one? Limit to just G20 countries?</t>
  </si>
  <si>
    <t xml:space="preserve">A' loan of $150 mil, 'B' loan of up to $590 million The project provides financing for construction and operation of circulated fluidized bed technology thermal power units in northern Chile to be fired by a combination of coal, petroleum coke, and biomass fuels. </t>
  </si>
  <si>
    <t>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t>
  </si>
  <si>
    <t>http://ifcext.ifc.org/ifcext/spiwebsite1.nsf/651aeb16abd09c1f8525797d006976ba/3286ce33bf634a7485257f5d005895cd?opendocument</t>
  </si>
  <si>
    <t xml:space="preserve">CORREDOR LOGISTICO INTEGRADO DE NACALA SA </t>
  </si>
  <si>
    <t>Indonesia Infrastructure Guarantee Fund Project</t>
  </si>
  <si>
    <t>World Bank - International Development Association</t>
  </si>
  <si>
    <t xml:space="preserve">ADB Project 42117-022: Source of Funding - ADB/Technical Assistance Special Fund. IGCC plant. ADB does not include in its list. Power Plant emission are divided evenly among the G20 countries that provided funding to the projects. </t>
  </si>
  <si>
    <t xml:space="preserve">ADB Project 41936-014:Source of Funding - ADB Private Sector Loan. Pulverized coal, subcritical; Power Plant emission are divided evenly among the G20 countries that provided funding to the projects. </t>
  </si>
  <si>
    <t xml:space="preserve">ADB Project 39595-023: Civil works for the Mong Duong 1 Thermal Power Plant; Power Plant emission are divided evenly among the G20 countries that provided funding to the projects. </t>
  </si>
  <si>
    <t xml:space="preserve">ADB Project 41958-014: Source of Funding - ADB Ordinary Capital Resources. ADB does not include in its list.; Power Plant emission are divided evenly among the G20 countries that provided funding to the projects. </t>
  </si>
  <si>
    <t xml:space="preserve">ADB Project 42074-012: Source of Funding - ADB/Technical Assistance Special Fund. technical and non-technical study of 600 MW waste-coal based utilization for power generation. ADB does not include in its list; Power Plant emission are divided evenly among the G20 countries that provided funding to the projects. </t>
  </si>
  <si>
    <t>Emissions counted from earlier loan
ADB Project 39595-033: Source of Funding - ADB Ordinary Capital Resources.1,000 MW Circulating fluidized bed (CFB), subcritical  coal-fired power plant; Power Plant emission are divided evenly among the G20 countries that provided funding to the projects. 
1080 MW already counted from earlier round of funding.</t>
  </si>
  <si>
    <t>Coal-fired power equipment</t>
  </si>
  <si>
    <t>http://www.sourcewatch.org/index.php/Lanco_Amarkantak_Thermal_Power_Project</t>
  </si>
  <si>
    <t xml:space="preserve">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
Financing for Eskom Capacity Expansion Program (not for an individual project), which includes multiple GW scale-up of coal-fired power and associated transmission infrastructure
US voted "no" to these loans, partly because of concerns around potential to contribute to coal-fired power expansion:
</t>
  </si>
  <si>
    <t>(Multiple Items)</t>
  </si>
  <si>
    <t xml:space="preserve">The total finance amount is $500000000; total power plant size is 300 MW.
Hasn't been decided eventually who will finance the project. Current candidates include KEXIM and African Development Bank. For the purpose of our calculation, the total finance and power plant size are evenly divided among KEXIM and African Development Bank, each with $250000000. 
African Development Bank's finance are divided among its members based on their shares in the bank. The power plant size and emission responsible of African Development Bank are divided evenly among its members. </t>
  </si>
  <si>
    <t xml:space="preserve">EDC initially financed the project in 2010 and provided addidtional financing in 2011. For 2011 amount, subtracted original financing amount from the total amount provided by OECD data. 
The coal mine size is 23 Mtpa. Since it is already included in EDC's initial financing in 2010 , this entry does not records the coal mine size to avoid double entry. </t>
  </si>
  <si>
    <t>European Union</t>
  </si>
  <si>
    <t>Office National de l’Electricité</t>
  </si>
  <si>
    <t>JERADA - EXTENSION</t>
  </si>
  <si>
    <t>Hub Power Company</t>
  </si>
  <si>
    <t>TELUK SIRIH POWER
STATION</t>
  </si>
  <si>
    <t>PT PLN</t>
  </si>
  <si>
    <t>ADIPALA POWER STATION
(AKA BUNTON POWER
STATION)</t>
  </si>
  <si>
    <t>SUMSEL-5 POWER STATION
(AKA SUMATERA SELATAN-
5)</t>
  </si>
  <si>
    <t>Electricity of Vietnam</t>
  </si>
  <si>
    <t>QUANG NINH POWER
STATION</t>
  </si>
  <si>
    <t>Quang Ninh Thermal Power
Joint Stock Company</t>
  </si>
  <si>
    <t>Iran</t>
  </si>
  <si>
    <t>Iran Power Development
Company</t>
  </si>
  <si>
    <t>TABAS POWER PLANT</t>
  </si>
  <si>
    <t>Kreditanstalt für Wiederaufbau (KfW DEG)</t>
  </si>
  <si>
    <t>Upgrade Atyaru Refinery</t>
  </si>
  <si>
    <t>Celukan Bawang</t>
  </si>
  <si>
    <t xml:space="preserve">Parliamentary Inquiry March 2016. 246 euros; 
The project was cancelled in June 2016. The power plant size was supposed to be 500MW with $262,540,021  financing. </t>
  </si>
  <si>
    <t>China Gezhouba Group Company</t>
  </si>
  <si>
    <t>http://www.hubpower.com/our-business/hub-power-station/</t>
  </si>
  <si>
    <t>http://www.dawn.com/news/1158111</t>
  </si>
  <si>
    <t>PT PLN Persero</t>
  </si>
  <si>
    <t>KazMunaiGas</t>
  </si>
  <si>
    <t>General Energy Bali</t>
  </si>
  <si>
    <t xml:space="preserve">Bank of China (BOC), China Development Bank (CDB), Export-Import Bank of China (China-EXIM), and Standard Chartered invested a total of $1.1 billion in these projects. No readily available data was found on the breakout so we assumed that each bank invested an equal share. 
The total power plant size is 3960 MW. We divided it equally among the investors. </t>
  </si>
  <si>
    <t>http://www.sourcewatch.org/index.php/Kamwamba_power_station
http://climatepolicyinitiative.org/wp-content/uploads/2015/11/Slowing-the-Growth-of-Coal-Power-Outside-China.pdf</t>
  </si>
  <si>
    <t>http://www.sourcewatch.org/index.php/Jerada_power_station
http://climatepolicyinitiative.org/wp-content/uploads/2015/11/Slowing-the-Growth-of-Coal-Power-Outside-China.pdf</t>
  </si>
  <si>
    <t>http://www.sourcewatch.org/index.php/Teluk_Sirih_power_station
http://climatepolicyinitiative.org/wp-content/uploads/2015/11/Slowing-the-Growth-of-Coal-Power-Outside-China.pdf</t>
  </si>
  <si>
    <t>http://www.sourcewatch.org/index.php/Adipala_power_station
http://climatepolicyinitiative.org/wp-content/uploads/2015/11/Slowing-the-Growth-of-Coal-Power-Outside-China.pdf</t>
  </si>
  <si>
    <t>http://www.sourcewatch.org/index.php/Vinh_Tan_power_station
http://climatepolicyinitiative.org/wp-content/uploads/2015/11/Slowing-the-Growth-of-Coal-Power-Outside-China.pdf</t>
  </si>
  <si>
    <t>http://www.sourcewatch.org/index.php/Quang_Ninh_power_station
http://climatepolicyinitiative.org/wp-content/uploads/2015/11/Slowing-the-Growth-of-Coal-Power-Outside-China.pdf</t>
  </si>
  <si>
    <t>http://www.sourcewatch.org/index.php/Tabas_power_station
http://climatepolicyinitiative.org/wp-content/uploads/2015/11/Slowing-the-Growth-of-Coal-Power-Outside-China.pdf</t>
  </si>
  <si>
    <t>http://www.reuters.com/article/oil-kazakhstan-china-idUSL5E8H667N20120606
https://www.bu.edu/pardeeschool/files/2016/05/Fueling-Growth.FINAL_.version.pdf</t>
  </si>
  <si>
    <t>http://www.sourcewatch.org/index.php/Celukan_Bawang_power_station
https://www.bu.edu/pardeeschool/files/2016/05/Fueling-Growth.FINAL_.version.pdf</t>
  </si>
  <si>
    <t>Total power plant size is 1320MW, divided equally between the two financers: CDB and China Exim. Power plant size source: https://www.clpindia.in/operations_jhajjar.html</t>
  </si>
  <si>
    <t>https://ijglobal.com/data/transaction/28581/gondia-coal-fired-project-additional-facility-3300mw</t>
  </si>
  <si>
    <t>https://ijglobal.com/data/transaction/32419/thar-coal-mine-and-coal-fired-power-plant-660mw-phase-1</t>
  </si>
  <si>
    <t>TBD</t>
  </si>
  <si>
    <t>https://ijglobal.com/data/project/33056</t>
  </si>
  <si>
    <t>Hai Duong Coal-Fired Power Plant</t>
  </si>
  <si>
    <t>JAKS Resources and China Power Engineering Consulting Group</t>
  </si>
  <si>
    <t>https://ijglobal.com/data/transaction/34394/hai-duong-coal-fired-power-plant-1200mw</t>
  </si>
  <si>
    <t xml:space="preserve">Total power plant size is 1200MW, divided equally between the three financers: ICBC, China Exim, and China Construction Bank. </t>
  </si>
  <si>
    <t>Tanjung Enim Coal-Fired Mine-Mouth Power Plant</t>
  </si>
  <si>
    <t>Bukit Asam and China Huadian Corporation Power Operation Company</t>
  </si>
  <si>
    <t>https://ijglobal.com/data/transaction/33665/tanjung-enim-coal-fired-mine-mouth-power-plant-1240mw</t>
  </si>
  <si>
    <t>https://www.koreaexim.go.kr/site/program/board/basicboard/list?boardtypeid=18&amp;menuid=002002004005</t>
  </si>
  <si>
    <t>https://ijglobal.com/data/transaction/35185/song-hau-1-coal-fired-power-plant-1200mw</t>
  </si>
  <si>
    <t>PetroVietnam</t>
  </si>
  <si>
    <t>The project uses supercritical pressure, coal-fired steam power generation technology and key components of the project is as follows: a power plant with 2 * 600 MW turbine units (each unit includes a turbine, a boller and a generator) and the auxiliaries. The total project value is 2 billion, but specific amount from financers is unknown</t>
  </si>
  <si>
    <t xml:space="preserve">Total plant size 1200MW, equally divided among 6 financers: CDB, China Construction Bank, ICBC, Bank of China, China Exim, and Sinosure.   </t>
  </si>
  <si>
    <t>https://ijglobal.com/data/transaction/18007/indramayu-coal-fired-power-plant</t>
  </si>
  <si>
    <t xml:space="preserve">Total power plant size is 100MW, each share unknown. For the purpose of calculation, equally divided among four financers. </t>
  </si>
  <si>
    <t>http://www.foe.org/news/news-releases/2016-06-over-150000-call-on-us-export-import-bank-to-reject-coal</t>
  </si>
  <si>
    <t>https://en.wikipedia.org/wiki/Rampal_Power_Station_(Proposed)</t>
  </si>
  <si>
    <t>Bangladesh India Friendship Power Company (BIFPC)</t>
  </si>
  <si>
    <t>Orion Power Khulna</t>
  </si>
  <si>
    <t>http://www.sourcewatch.org/index.php/Khulna_power_station_(Orion)</t>
  </si>
  <si>
    <t>http://blogs.wsj.com/chinarealtime/2015/04/21/china-makes-multibillion-dollar-down-payment-on-silk-road-plans/</t>
  </si>
  <si>
    <t>Hwange Power Station Expansion</t>
  </si>
  <si>
    <t>Zimbabwe Power Company</t>
  </si>
  <si>
    <t>http://www.sourcewatch.org/index.php/Hwange_power_station
http://www.iea.org/publications/freepublications/publication/Partner_Country_SeriesChinaBoosting_the_Power_Sector_in_SubSaharan_Africa_Chinas_Involvement.pdf</t>
  </si>
  <si>
    <t>http://www.zpc.co.zw/projects/2/hwange-power-station-expansion
http://www.reuters.com/article/us-china-africa-zimbabwe-idUSKBN0TK3Q320151201</t>
  </si>
  <si>
    <t>Mundra UMPP</t>
  </si>
  <si>
    <t>https://ijglobal.com/data/transaction/17705/mundra-umpp</t>
  </si>
  <si>
    <t>Tata Power</t>
  </si>
  <si>
    <t xml:space="preserve">The project involves the construction of the 4,000MW Mundra ultra mega power plant in Gujarat. Power plant size and emissions divided equally among IFC, Korean Exim and ADB. 
</t>
  </si>
  <si>
    <t>https://ijglobal.com/data/transaction/31251/ulaanbaatar-chp5-power-plant</t>
  </si>
  <si>
    <t>GDF Suez, Sojitz, POSCO and Newcom</t>
  </si>
  <si>
    <t>Khulna IPP</t>
  </si>
  <si>
    <t>Initec</t>
  </si>
  <si>
    <t>https://ijglobal.com/data/transaction/21533/khulna-ipp-150mw</t>
  </si>
  <si>
    <t xml:space="preserve">Japan Bank for International Cooperation (JBIC), Nexi and the Export-Import Bank of Korea (Kexim) are expected to provide roughly 60% of the debt requirement. </t>
  </si>
  <si>
    <t>https://ijglobal.com/data/transaction/34565</t>
  </si>
  <si>
    <t>Marubeni, Korea Midland Power, Samtan and PT Indika Energy</t>
  </si>
  <si>
    <t>https://ijglobal.com/articles/100606/marubeni-signs-mou-for-cirebon-3-coal-fired</t>
  </si>
  <si>
    <t>Financing</t>
  </si>
  <si>
    <t>The financing will be used for the third expansion of 1000MW of Cirebon independent coal-fired power plant, located next to the existing 660MW coal-fired Cirebon unit, which has been in operation since 2012. The plant is located in Indonesia's West Java province on Java Island. The sponsors of the project are: Marubeni, Korea Midland Power, Samtan and PT Indika Energi. The total costs of the construction of  the third 1,000MW coal-fired unit is estimated to be roughly $2 billion.</t>
  </si>
  <si>
    <t>Coal Power Generation Company</t>
  </si>
  <si>
    <t>https://ijglobal.com/data/transaction/31130</t>
  </si>
  <si>
    <t>https://ijglobal.com/data/transaction/36329/thar-coal-block-ii-mine</t>
  </si>
  <si>
    <t>http://www.engineeringnews.co.za/article/malawi-power-station-2014-05-23/rep_id:4136</t>
  </si>
  <si>
    <t>Thar Coal Block II Mine Phase I</t>
  </si>
  <si>
    <t>Thar coal mine is part of the China-Pakistan Economic Corridor (CPEC).</t>
  </si>
  <si>
    <t xml:space="preserve">
http://www.dawn.com/news/1226912
http://www.ccb.com/cn/ccbtoday/media/20160330_1459320465.html;
http://news.xinhuanet.com/world/2016-04/12/c_128886142.htm;</t>
  </si>
  <si>
    <t>Thar Coal Power Plant Phase I</t>
  </si>
  <si>
    <t>Tiroda Power Plant - Gondia - Additional Facility</t>
  </si>
  <si>
    <t>https://ijglobal.com/data/transaction/33205/k-electric-port-qasim-coal-fired-power-plant-700mw</t>
  </si>
  <si>
    <t>https://ijglobal.com/articles/75409/china-exim-approves-serbia-thermal-loan</t>
  </si>
  <si>
    <t>Construct and update port infrastructure for the transporation of coal; total cost $1 billion</t>
  </si>
  <si>
    <t>https://ijglobal.com/data/transaction/32254/maamba-coal-fired-power-plant-phase-i-300mw</t>
  </si>
  <si>
    <t>Nava Bharat and ZCCM</t>
  </si>
  <si>
    <t>Maamba Coal-Fired Power Plant Phase I (300MW)</t>
  </si>
  <si>
    <t>https://ijglobal.com/data/transaction/31942</t>
  </si>
  <si>
    <t>ACWA Power, Mitsui, Vale</t>
  </si>
  <si>
    <t>https://ijglobal.com/data/transaction/28563</t>
  </si>
  <si>
    <t>HuDe GmbH, Erkelenz</t>
  </si>
  <si>
    <t>PT Bhimasena Power Indonesia (BPI) - a joint venture by PT Adaro Energy Tbk and Itochu Corp and Electric Power Development Co (J-Power)</t>
  </si>
  <si>
    <t xml:space="preserve">The project involves the construction of the 4,000MW Mundra ultra mega power plant in Gujarat. Power plant size and emissions divided equally among IFC, Korean Exim and ADB. </t>
  </si>
  <si>
    <t xml:space="preserve">The total plant size is 3300MW, divided equally CDB, and ICBC. </t>
  </si>
  <si>
    <t>http://sekitan.jp/jbic/wp-content/uploads/2014/01/Lists-of-Approved-Coal-Investments-by-JBIC-April-2015.pdf
http://www.mhi-global.com/news/story/1004141346.html
http://www.jbic.go.jp/en/information/press/press-2009/0308-7153</t>
  </si>
  <si>
    <t>https://ijglobal.com/data/transaction/20235/paiton-3-ipp</t>
  </si>
  <si>
    <t>Korea Development Bank</t>
  </si>
  <si>
    <t>https://ijglobal.com/data/transaction/32622/kalsel-coal-fired-power-plant-200mw</t>
  </si>
  <si>
    <t>Adaro Energy</t>
  </si>
  <si>
    <t>KDB and K-Sure</t>
  </si>
  <si>
    <t>Vietnam Electricity Group (EVN)</t>
  </si>
  <si>
    <t>https://ijglobal.com/data/transaction/31707/vinh-tan-4-coal-fired-thermal-power-plant-1200mw</t>
  </si>
  <si>
    <t>Vinh Tan 1 Coal-Fired Thermal Power Plant (1200MW)</t>
  </si>
  <si>
    <t>https://ijglobal.com/data/project/32674</t>
  </si>
  <si>
    <t xml:space="preserve">https://www.ksure.or.kr/jsp/common/FileDown.jsp?f_idx=1383097284602.pdf&amp;f_sz=542506
https://tradefinanceanalytics.com/Articles/3436066/Deals-of-the-Year-2014-Asia-Pacific-Winners.html
</t>
  </si>
  <si>
    <t>Vinh Tan 2</t>
  </si>
  <si>
    <t>Cancelled</t>
  </si>
  <si>
    <t>http://www.esi-africa.com/news/zimbabwe-china-promises-1-2bn-loan-for-hwange-thermal-power-plant-upgrade/</t>
  </si>
  <si>
    <t>Barh Coal-Fired Power Plant 1980MW</t>
  </si>
  <si>
    <t>Mundra UMPP 4000MW</t>
  </si>
  <si>
    <t>Rajpura Coal-fired Power Project 1400MW</t>
  </si>
  <si>
    <t>Rajpura Thermal Power Project 1400MW</t>
  </si>
  <si>
    <t>Kudgi Super Thermal Power Project (2400MW)</t>
  </si>
  <si>
    <t>Siberian Coal Energy Company</t>
  </si>
  <si>
    <t>SUEK Corporate Facility Refinancing</t>
  </si>
  <si>
    <t>https://ijglobal.com/data/transaction/28486/suek-corporate-facility-refinancing</t>
  </si>
  <si>
    <t>Coal Mining - Existing</t>
  </si>
  <si>
    <t>The facility will be used for refinancing of existing debt and gereal corporate purposes. SUEK Siberian Coal Energy Company is the leading Russian coal company, the largest producer and supplier of coal in the nation, and one of the major global players in its sector.</t>
  </si>
  <si>
    <t>Arch Coal Inc.</t>
  </si>
  <si>
    <t>Arch Coal Corporate Facility</t>
  </si>
  <si>
    <t>https://ijglobal.com/data/transaction/25654/arch-coal-corporate-facility</t>
  </si>
  <si>
    <t>Coal Mining - Expansion</t>
  </si>
  <si>
    <t>Lower Wilgat LCC</t>
  </si>
  <si>
    <t>Lower Wilgat Coal Mine Refinancing</t>
  </si>
  <si>
    <t>https://ijglobal.com/data/transaction/18776/lower-wilgat-coal-mine-refinancing</t>
  </si>
  <si>
    <t>Proceeds will be used for the refinancing in connection with the development, construction, operation and maintenance of coal mines in Mason County, West Virginia, Franklin and Williamson Counties, Illinois and Meigs County, Ohio.</t>
  </si>
  <si>
    <t>Quang Ninh Coal Mines Development</t>
  </si>
  <si>
    <t>https://ijglobal.com/data/transaction/29242/quang-ning-coal-mines-development</t>
  </si>
  <si>
    <t>Coal Mining - New</t>
  </si>
  <si>
    <t>The financing is used for the development of 17 coal mines in Quang Ning province of Vietnam.Sumitomo Mitsui Banking Corp has financed for the term loan of $60 million and Japan Bank for International Cooperation has extended the credit facility of $90 million under non-recourse type of finance.</t>
  </si>
  <si>
    <t>BHP Billiton</t>
  </si>
  <si>
    <t>BHP Billiton Refinancing</t>
  </si>
  <si>
    <t>https://ijglobal.com/data/transaction/33041/bhp-billiton-refinancing-2014</t>
  </si>
  <si>
    <t>The proceeds will be used to refinance the existing facilities of BHP Billiton, a mining company in Australia. The refinancing resulted in the cancellation of existing $5bn and $1bn multicurrency credit facilities. The financing includes a revolving facility of $6000m arranged by a consortium of 29 banks. The facility has a tenure of 5 years and has two one-year extension options. It will used for general corporate purposes.</t>
  </si>
  <si>
    <t>Export Import Bank of India</t>
  </si>
  <si>
    <t>Bangladesh-India Friendship Power Company (BIFPCL)</t>
  </si>
  <si>
    <t>https://ijglobal.com/data/transaction/35706/maitree-coal-fired-power-power-plant-1320mw</t>
  </si>
  <si>
    <t>The $1.6 billion proceeds will be used for the construction and exploitation of the Maitree coal-fired power plant, located in Rampal Upazila of Bagerhat District, in Khulna, in south-western Bangladesh.  The plant will have two 660 MW coal-fired units, situated on an area of over 1834 acres of land.</t>
  </si>
  <si>
    <t>Zimbabwe Power Compant</t>
  </si>
  <si>
    <t>https://ijglobal.com/data/transaction/34998/bulawayo-thermal-power-plant-90mw-rehabilitation</t>
  </si>
  <si>
    <t>Coal Power - Existing</t>
  </si>
  <si>
    <t>The financing will be used to rehabilitate and upgrade Bulawayo Thermal Power Station in Zimbabwe. The plant initially had an installed capacity of 120MW, but after a refurbishment in 1999 the capacity was reduced to  90MW. The Zimbabwe Power Company (ZPC) will repower the plant and will improve the energy efficiency. The repowering works would add 60MW onto the grid, as the station is only producing around 30MW from its installed capacity.</t>
  </si>
  <si>
    <t>Gujarat NRE Coking Coal Ltd</t>
  </si>
  <si>
    <t>Gujarat NRE Cokin Coal Mine Capex facility 2013</t>
  </si>
  <si>
    <t>https://ijglobal.com/data/transaction/28382/gujarat-nre-cokin-coal-mine-capex-facility-2013</t>
  </si>
  <si>
    <t>Proceeds of $106.5m are part-financing the Gujarat NRE Cokin Coal Mine project in Wongawilli, NSW, Australia.</t>
  </si>
  <si>
    <t>NRE No 1 Colliery and NRE Wongawilli Colliery Expansion</t>
  </si>
  <si>
    <t>https://ijglobal.com/data/transaction/21903/nre-no-1-colliery-and-nre-wongawilli-colliery-expansion</t>
  </si>
  <si>
    <t>Proceeds will be used to finance the expansion of two mines in New South Wales, Australia. The mines, NRE No 1 Colliery and NRE Wongawilli Colliery, together produce about 1.3 million tonnes of coking coal a year. The expansion is expected to increase output to about 6 million tonnes a year by 2014-15.</t>
  </si>
  <si>
    <t>Kaltim Prima Coal and PT Arutmin Mine Expansion Financing</t>
  </si>
  <si>
    <t>The purpose of the facility was to allow for the expansion of the mining operations of PT Kaltim Prima Coal and PT Arutmin Indonesia at four separate mining sites in Kalimantan, Indonesia</t>
  </si>
  <si>
    <t>United Bank of India</t>
  </si>
  <si>
    <t>PT Kaltim Prima Coal and PT Arutmin Indonesia</t>
  </si>
  <si>
    <t>https://ijglobal.com/data/transaction/26072/kaltim-prima-coal-and-pt-arutmin-mine-expansion-financing</t>
  </si>
  <si>
    <t xml:space="preserve">This is phase one of two. </t>
  </si>
  <si>
    <t>Sinosure, BOC, ICBC, DBSA, IDC SA</t>
  </si>
  <si>
    <t>Development Bank of Southern Africa</t>
  </si>
  <si>
    <t>Industrial Development Corporation of South Africa</t>
  </si>
  <si>
    <t xml:space="preserve">Makomo Resources Pty Ltd &amp; Bond Equipment Pty Ltd
</t>
  </si>
  <si>
    <t>http://www.ecic.co.za/About-Us/Projects</t>
  </si>
  <si>
    <t xml:space="preserve">Export Credit Insurance Corporation of South Africa </t>
  </si>
  <si>
    <t>Coal - other</t>
  </si>
  <si>
    <t>Coal - Policy</t>
  </si>
  <si>
    <t>Coal Power Plant and Mining - Existing</t>
  </si>
  <si>
    <t>Coal - Heating</t>
  </si>
  <si>
    <t>Unspecified</t>
  </si>
  <si>
    <t>Coal Mining - Cleanup</t>
  </si>
  <si>
    <t xml:space="preserve">The objective of the Coal Fired Generation Rehabilitation Project for Indiais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
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t>
  </si>
  <si>
    <t>IndonesiaInfrastructure Guarantee Fund Project</t>
  </si>
  <si>
    <t xml:space="preserve">The development objective is to strengthen the IndonesiaInfrastructure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Bank Response: Strengthens the IndonesiaInfrastructure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t>
  </si>
  <si>
    <t>Sector Group</t>
  </si>
  <si>
    <t>T&amp;D</t>
  </si>
  <si>
    <t>SPV Empresa Electrica Angamos (EEA)</t>
  </si>
  <si>
    <t>Total</t>
  </si>
  <si>
    <r>
      <t xml:space="preserve">Power Plant Size </t>
    </r>
    <r>
      <rPr>
        <sz val="14"/>
        <color theme="0"/>
        <rFont val="Calibri"/>
        <family val="2"/>
        <scheme val="minor"/>
      </rPr>
      <t>(MW) or Share</t>
    </r>
  </si>
  <si>
    <r>
      <t xml:space="preserve">Coal Mine Size </t>
    </r>
    <r>
      <rPr>
        <sz val="14"/>
        <color theme="0"/>
        <rFont val="Calibri"/>
        <family val="2"/>
        <scheme val="minor"/>
      </rPr>
      <t>(Mtpa)</t>
    </r>
  </si>
  <si>
    <t>Kumho Petrochemical</t>
  </si>
  <si>
    <t>Kumho Yeosu Terminal Refinancing</t>
  </si>
  <si>
    <t>https://ijglobal.com/articles/96263/financial-close-for-koreas-kwangyanghang-yeocheon-coal-terminal</t>
  </si>
  <si>
    <t>Coal Terminal</t>
  </si>
  <si>
    <t>http://www.jica.go.jp/english/news/press/2015/151214_01.html</t>
  </si>
  <si>
    <t xml:space="preserve"> 
http://www.jica.go.jp/english/news/press/2015/151218_01.html</t>
  </si>
  <si>
    <t>Japan Oil Gas and Metals National Corporation</t>
  </si>
  <si>
    <t>PT Megah Pratama Resources</t>
  </si>
  <si>
    <t xml:space="preserve">http://www.jogmec.go.jp/english/news/release/news_06_000017.html
</t>
  </si>
  <si>
    <t>Coal - Exploration</t>
  </si>
  <si>
    <t xml:space="preserve"> 
PT PLN (Persero)</t>
  </si>
  <si>
    <t>Expansion of Lontar Coal-Fired Power Plant</t>
  </si>
  <si>
    <t xml:space="preserve">http://www.jbic.go.jp/en/information/press/press-2015/0316-47130 </t>
  </si>
  <si>
    <t>Coal power plant - expansion</t>
  </si>
  <si>
    <t xml:space="preserve"> 
Lontar Extension Coal Fired Steam Power Plant</t>
  </si>
  <si>
    <t>http://www.nexi.go.jp/en/topics/newsrelease/2016030802.html</t>
  </si>
  <si>
    <t>PT Bumi Resources</t>
  </si>
  <si>
    <t xml:space="preserve"> 
PT Bumi Resources</t>
  </si>
  <si>
    <t>http://globserver.cn/en/china/press/china-development-bank-loans-chinese-state-owned-companies-2012-09-10 </t>
  </si>
  <si>
    <t>Coal - mining</t>
  </si>
  <si>
    <t>Anpara II and Himawat</t>
  </si>
  <si>
    <t>http://www.livemint.com/Companies/TkqKfa16u8tW78ZsRze0jL/Lanco-Infra-to-raise-2-bn-from-China-Development-Bank.html http://www.thehindu.com/business/companies/2-b-china-development-bank-loan-for-lanco-infra/article4137020.ece http://www.constructionworld.in/News.aspx?nId=LdhpV747b4ZXtB7A7KsNBw== http://www.lancogroup.com/pdf/press_releases/Lanco_to_Raise_$2BN_pricate_equity_from_Chinese_Banks_&amp;_FI's_for_power_projects.pdf http://www.pp.u-tokyo.ac.jp/research/dp/documents/GraSPP-DP-E-14-003-SOM.pdf</t>
  </si>
  <si>
    <t xml:space="preserve">Coal power plant - new </t>
  </si>
  <si>
    <t xml:space="preserve"> 
En+ Group and Shenhua Group</t>
  </si>
  <si>
    <t>En+ Group and Shenhua Group coal mining and exploration</t>
  </si>
  <si>
    <t>http://www.platts.com/latest-news/coal/moscow/russian-en-china-development-bank-chinese-shenhua-7656113 http://news.guidechem.com/2013/03/25/17655.html http://www.reuters.com/article/2013/03/22/russia-china-coal-idUSL6N0CE0JX20130322 http://www.basel.ru/en/articles/enplus_11_12_13 http://www.brookings.edu/blogs/up-front/posts/2013/04/01-china-russia-energy-relations-downs https://ijglobal.com/articles/83858/east-russian-coal-deal-signed-with-chinese-giants</t>
  </si>
  <si>
    <t xml:space="preserve">Industrial and Construction Bank of Uzbekistan </t>
  </si>
  <si>
    <t>Angren thermal power plant modernization</t>
  </si>
  <si>
    <t xml:space="preserve">http://www.sourcewatch.org/index.php/International_Chinese_coal_projects#Maheshkhali_power_station_.28Huadian.29 http://www.pp.u-tokyo.ac.jp/research/dp/documents/GraSPP-DP-E-14-003-SOM.pdf http://easttime.info/news/china/export-import-bank-china-deliver-165-million-uzbekistan http://easttime.info/news/china/export-import-bank-china-deliver-165-million-uzbekistan http://www.investor.uz/?p=802 http://en.trend.az/business/economy/2188862.html </t>
  </si>
  <si>
    <t>Bishkek CHP power station</t>
  </si>
  <si>
    <t>Africa Sunlight Energy (Pvt) Ltd (Caseco)</t>
  </si>
  <si>
    <t xml:space="preserve">http://www.herald.co.zw/chinese-firm-to-fund-gwayi-power-project http://source.co.zw/2013/12/chinese-firm-starts-work-on-gwayi-coal-mine-thermal-power-station http://www.newzimbabwe.com/news-13453-Work+starts+on+$1.3bln+power+station/news.aspx http://www.southerneye.co.zw/2013/12/11/600mw-gwayi-power-project-takes </t>
  </si>
  <si>
    <t>Serbian Ministry of Energy, Development and Environmental Protection</t>
  </si>
  <si>
    <t>Kostolac B3</t>
  </si>
  <si>
    <t>Indonesian State Electricity Company</t>
  </si>
  <si>
    <t>Takalar Steam Coal Power Plant</t>
  </si>
  <si>
    <t>http://china.aiddata.org/projects/39372 http://www.sourcewatch.org/index.php/Pangkalan_Susu_power_station http://www.djppr.kemenkeu.go.id/page/load/1177</t>
  </si>
  <si>
    <t>Halkbank</t>
  </si>
  <si>
    <t xml:space="preserve"> 
Can Komur (subsidiary of Odas Elektrik)</t>
  </si>
  <si>
    <t>Canakkale Thermal Power Plant (330MW)</t>
  </si>
  <si>
    <t>https://ijglobal.com/data/transaction/35062/canakkale-thermal-power-plant-330mw http://globalenergyobservatory.org/form.php?pid=43065</t>
  </si>
  <si>
    <t xml:space="preserve"> 
Mongolian Development Bank</t>
  </si>
  <si>
    <t>Ulaanbaatar Thermal Power Plant No. 4 Project</t>
  </si>
  <si>
    <t xml:space="preserve"> 
http://www.veb.ru/en/press/news/?id_19=100787&amp;filter_year_20=2015&amp;from_20=8 http://veb.ru/common/upload/files/veb/reports/annual/VEB_Annual_2015_eng.pdf (pp. 19 &amp; 35)</t>
  </si>
  <si>
    <t xml:space="preserve"> 
Sberbank</t>
  </si>
  <si>
    <t>SUEK Siberian Coal Energy Company</t>
  </si>
  <si>
    <t>SUEK Corporate Facility Refinancing 2016</t>
  </si>
  <si>
    <t>https://ijglobal.com/data/transaction/35833/suek-corporate-facility-refinancing-2016</t>
  </si>
  <si>
    <t xml:space="preserve"> 
Nava Bharat (65%); ZCCM Investment Holdings (35%)</t>
  </si>
  <si>
    <t>http://www.theindependent.co.zw/2016/06/16/zims-us2bn-solar-projects-resumes-two-years/</t>
  </si>
  <si>
    <t>https://ijglobal.com/data/transaction/32399/sasec-zimbabwe-coal-project</t>
  </si>
  <si>
    <t>new</t>
  </si>
  <si>
    <t>Port Qasim Port Power Station</t>
  </si>
  <si>
    <t>Rampal coal plant</t>
  </si>
  <si>
    <t>Nacala Corridor</t>
  </si>
  <si>
    <t>Supply and instilling a coal dense media separation plant</t>
  </si>
  <si>
    <t>Tanda</t>
  </si>
  <si>
    <t>Track 3B (Jimah)</t>
  </si>
  <si>
    <t>Construction of a new district heating system (Energy Efficiency and Renewables Programme – Phase IV)</t>
  </si>
  <si>
    <t>Efficiency and environmental measures in the Mongolian power plant fleet</t>
  </si>
  <si>
    <t xml:space="preserve">Nikola Tesla A Power Plant </t>
  </si>
  <si>
    <t xml:space="preserve">Suralaya Power Plant </t>
  </si>
  <si>
    <t>Song hau 1 Project</t>
  </si>
  <si>
    <t>BOSS/PB Project</t>
  </si>
  <si>
    <t>Thar Coal Power Plant Phase II</t>
  </si>
  <si>
    <t>Nacala Rail and Port Project</t>
  </si>
  <si>
    <t>Vinh Tan 3 Coal Power Project (1980MW)</t>
  </si>
  <si>
    <t>Bulawayo Thermal Power Plant Rehabilitation</t>
  </si>
  <si>
    <t>Plomin C Coal-fired power plants</t>
  </si>
  <si>
    <t>Coal Processing: Technological equipment</t>
  </si>
  <si>
    <t>Coal-fired power plant: steam turbines and generators</t>
  </si>
  <si>
    <t>Coal-fired power plants:  mixer for ash conditioning incl. services</t>
  </si>
  <si>
    <t>Coal-fired power plants: control system and field instrumentation</t>
  </si>
  <si>
    <t>Coal-fired power plants: core components for flue gas cleaning system of the Aghios Dimitrios power plant</t>
  </si>
  <si>
    <t>Coal-fired power plants: pipes to equip vessels</t>
  </si>
  <si>
    <t xml:space="preserve">Coalmining machinery: crusher, spreader, portal scraper, equipment </t>
  </si>
  <si>
    <t>Coalmining machinery: expansion of a longwall mining system for the
Narrabri mine</t>
  </si>
  <si>
    <t>Coalmining machinery: hydraulic control for shields</t>
  </si>
  <si>
    <t>Coalmining machinery: pit prop and unlockable non-return valve</t>
  </si>
  <si>
    <t>Coalmining machinery: tracked loaders</t>
  </si>
  <si>
    <t>Equipment for coal mining: Extension of Strebbausystems for
Narrabri mine</t>
  </si>
  <si>
    <t>Ptolemaida V Coal-fired Power Plant</t>
  </si>
  <si>
    <t>Song Hau 1</t>
  </si>
  <si>
    <t>Annex 1. Database Methodology and Notes</t>
  </si>
  <si>
    <t>http://china.aiddata.org/projects/39373 
http://www.bappenas.go.id/files/4314/1387/1046/drppln-2014.pdf http://www.pln.co.id/eng/?p=3165 
http://www.chinadaily.com.cn/m/gezhouba/2015-05/12/content_20698093.htm http://www.djppr.kemenkeu.go.id/page/load/1177</t>
  </si>
  <si>
    <t>http://www.bloomberg.com/news/articles/2014-08-25/bumi-resources-bonds-gain-after-375-million-debt-restructuring</t>
  </si>
  <si>
    <t xml:space="preserve"> Lanco Infratech Ltd</t>
  </si>
  <si>
    <t>http://www.sourcewatch.org/index.php/Bishkek_power_station</t>
  </si>
  <si>
    <t xml:space="preserve">http://jakartaglobe.beritasatu.com/business/sinar-mas-energy-holding-pushes-ahead-coal-fired-power-plants/
</t>
  </si>
  <si>
    <t>http://economictimes.indiatimes.com/news/international/business/indonesias-sinarmas-to-invest-600-700-million-in-2-coal-plants-sources/articleshow/46983781.cms http://www.reuters.com/article/2015/04/20/indonesia-wef-sinarmas-idUSL4N0XH09620150420 http://thejakartaglobe.beritasatu.com/business/sinar-mas-inks-loan-deal-chinese-banks
http://www.sourcewatch.org/index.php/Sinar_Mas_Jambi_power_station</t>
  </si>
  <si>
    <t>http://www.sourcewatch.org/index.php/Ulaanbaatar_Thermal_Power_Plant_No._4</t>
  </si>
  <si>
    <t xml:space="preserve">The total finance amount is $500,000,000; total power plant size is 300 MW.
Hasn't been decided eventually who will finance the project. Current candidates include KEXIM and African Development Bank. For the purpose of our calculation, the total finance and power plant size are evenly divided among KEXIM and African Development Bank, each with $250000000. 
African Development Bank's finance are divided among its members based on their shares in the bank. The power plant size and emission responsible of African Development Bank are divided evenly among its members. </t>
  </si>
  <si>
    <t>http://www.ebrd.com/news/2012/ebrd-lends-to-ukraines-coal-energy.html</t>
  </si>
  <si>
    <t>Chittagong Main Power Grid Strengthening Project
Dhaka-Chittagong Main Power Grid Strengthening Project</t>
  </si>
  <si>
    <t>http://energybangla.com/ecnec-approves-dhaka-chittagong-main-power-grid-project/</t>
  </si>
  <si>
    <t>43,769 million yen</t>
  </si>
  <si>
    <t>Java-Sumatra Interconnection Transmission Line Project (II)</t>
  </si>
  <si>
    <t xml:space="preserve">http://uk.reuters.com/article/2014/12/14/serbia-energy-china-idUKL6N0TY0MD20141214 </t>
  </si>
  <si>
    <t>Kyiv and Lviv coal plants</t>
  </si>
  <si>
    <t>Naftogaz</t>
  </si>
  <si>
    <t>http://www.naftogaz.com/www/3/nakweben.nsf/0/222826C460B4DF3AC2257F9D00451F71?OpenDocument&amp;year=2016&amp;month=05&amp;nt=News&amp;</t>
  </si>
  <si>
    <t>part of $2B credit facility from CDB</t>
  </si>
  <si>
    <t>http://www.forbes.com/sites/kenrapoza/2016/04/22/even-ukraine-is-turning-to-the-chinese-for-money/#2fdc28011319</t>
  </si>
  <si>
    <t>One Energy (CLP Group and Mitsubishi Corporation)</t>
  </si>
  <si>
    <t xml:space="preserve">ADB Project 41120-012:  
Source of Funding - Japan Special Fund.  
The proposed PPTA will undertake the necessary technical, financial, social, and environmental analysis to determine the feasibility of Vinh Tan Thermal Power Generation Project (appears to be two proposed 1,000-MW coal-fired plants). </t>
  </si>
  <si>
    <t>https://www.adb.org/sites/default/files/project-document/65469/41120-vie-tar.pdf</t>
  </si>
  <si>
    <t>Vinh Tan 3 Thermal Power Generation Project Consulting Services</t>
  </si>
  <si>
    <t>Bac Lieu Power Plant (1200MW)</t>
  </si>
  <si>
    <t>Barauni Power Plant (660MW)</t>
  </si>
  <si>
    <t>Power Plant (300MW)</t>
  </si>
  <si>
    <t>Cirebon IPP expansion Phase 3 (1000MW)</t>
  </si>
  <si>
    <t>Coal-fired power plant in Moatize (300MW)</t>
  </si>
  <si>
    <t>Darlipali (1600MW)</t>
  </si>
  <si>
    <t>Gwayi Mine power station (600MW)</t>
  </si>
  <si>
    <t>HUBCO POWER STATION -
CHINA-PAKISTAN ECONOMIC
CORRIDOR (1320MW)</t>
  </si>
  <si>
    <t>Indramayu (1000MW)</t>
  </si>
  <si>
    <t>Jambi Province 2-unit mine-mouth coal-fired power plant  (400MW)</t>
  </si>
  <si>
    <t>KalSel Coal-Fired Power Plant (200MW)</t>
  </si>
  <si>
    <t>Kamwamba Power Plant, Zalewa Phase II (700MW)</t>
  </si>
  <si>
    <t>Maitree Coal Fired Power Plant (1320MW)</t>
  </si>
  <si>
    <t>Matarbari Coal Fired Power Plant (1200MW)</t>
  </si>
  <si>
    <t>Morupule coal-fired power plant (300MW)</t>
  </si>
  <si>
    <t>Nghi Son 2 coal-fired power plant (1200MW)</t>
  </si>
  <si>
    <t>Orion coal plant  (565MW)</t>
  </si>
  <si>
    <t>Toyo-Thai coal-fired power plant (1280MW)</t>
  </si>
  <si>
    <t>Van Phong (1320MW)</t>
  </si>
  <si>
    <t>Vung Ang 2 (1320MW)</t>
  </si>
  <si>
    <t>Dongfang Electric</t>
  </si>
  <si>
    <t>Ouro Negro Energia, SEPCO1 (Shandong Electric Power Construction Corporation) and Nwepdi (Northwest Power Design Institute)</t>
  </si>
  <si>
    <t>Pedras Altas power station</t>
  </si>
  <si>
    <t>Permitted</t>
  </si>
  <si>
    <t xml:space="preserve">Hamarawein Port </t>
  </si>
  <si>
    <t>http://www.hkexnews.hk/listedco/listconews/sehk/2016/0122/LTN20160122907.pdf</t>
  </si>
  <si>
    <t>Signed</t>
  </si>
  <si>
    <t>China National Electric Engineering Company</t>
  </si>
  <si>
    <t>Ugljevik 3</t>
  </si>
  <si>
    <t>http://renewables.seenews.com/news/comsar-energy-to-invest-some-1-0-bln-euro-in-bosnia-s-tpp-ugljevik-3-hpp-mrsovo-media-324567#</t>
  </si>
  <si>
    <t>http://www.freetradezoneconsulting.com/eng.php?cat_code=sewyxx&amp;art_id=809</t>
  </si>
  <si>
    <t>Under construction</t>
  </si>
  <si>
    <t>Dushanbe Phase II</t>
  </si>
  <si>
    <t>http://ru.sputnik-tj.com/country/20160209/1018386452.html</t>
  </si>
  <si>
    <t xml:space="preserve">Tajikistan </t>
  </si>
  <si>
    <t>http://jconline.ne10.uol.com.br/canal/economia/nacional/noticia/2015/12/13/licenciamento-ambiental-e-dilema-para-chineses-interessados-em-investir-no-brasil-212241.php
http://www.sourcewatch.org/index.php/Pedras_Altas_power_station</t>
  </si>
  <si>
    <t xml:space="preserve"> China Exim Bank</t>
  </si>
  <si>
    <t>http://menafn.com/1094851346/Al-Sisi-Electricity-Ministry-to-finalise-contract-with-Shanghai-Electric-for-coal-fired-power-plant-in-September</t>
  </si>
  <si>
    <t>Unknown</t>
  </si>
  <si>
    <t>http://www.sourcewatch.org/index.php/Dushanbe-2_power_station</t>
  </si>
  <si>
    <t>http://dialogochino.net/brazil-adds-new-coal-fired-power/</t>
  </si>
  <si>
    <t>Low-Income Country</t>
  </si>
  <si>
    <t>Long Phu 1 (1,200MW) Coal Fueled Power Plant (2x600 MW units)</t>
  </si>
  <si>
    <t> AP089111XX</t>
  </si>
  <si>
    <t> TBD</t>
  </si>
  <si>
    <t>http://www.exim.gov/policies/ex-im-bank-and-the-environment/pending-transactions</t>
  </si>
  <si>
    <t>Increase production capacity by 300 MW.; from Bankwatch</t>
  </si>
  <si>
    <t>MoU with China Development signed in 2015; from Bankwatch</t>
  </si>
  <si>
    <t>2640MW plant. Power plant size is equally divided by the two investors, China ExIm and Industrial and Commercial Bank of China. Article show conflicting cost of plant. Decided on lower amount ($3B USD), and divided equally between two investors.From Bankwatch</t>
  </si>
  <si>
    <t>EIB RESPONSE: Signed amount was 343.5 MEUR e.g. about 505 MUSD at 1.67 exchange rate</t>
  </si>
  <si>
    <t>EIB RESPONSE: The part of the EIB loan allocated to the coal CHP was 22% of the total loan, i.e 65 MEUR</t>
  </si>
  <si>
    <t>http://www.jbic.go.jp/en/information/press/press-2016/0603-48595</t>
  </si>
  <si>
    <t>Cirebon IPP expansion Phase 2 (1000MW)</t>
  </si>
  <si>
    <t>http://www.jbic.go.jp/en/efforts/environment/projects/49263</t>
  </si>
  <si>
    <t>https://www.adb.org/projects/46915-014/main#project-pds</t>
  </si>
  <si>
    <t xml:space="preserve">The financing will be used for the construction of the CHP5 coal fired combined heat and power plant in Mongolia's capital, Ulaanbaatar. GDF Suez (30%), Sojitz(30%), POSCO(30%) and Newcom(10%) are the sponsors of the project.  The Central Region Electricity Transmission Company will be the offtaker for the power under a 25-year PPA, while the Central Region Electricity Transmission Company will purchase the heat. The total cost of the project is estimated at $1.2billion The operations are expected to begin in 2017.
Only the financers are known at this point. The specific amounts are unknown. </t>
  </si>
  <si>
    <t>Ulaanbaatar CHP5 Power Plant (463.5MW)</t>
  </si>
  <si>
    <t>Vinh Tan 4 Coal-Fired Thermal Power Plant (600MW)</t>
  </si>
  <si>
    <t xml:space="preserve">http://www.jbic.go.jp/en/efforts/environment/projects/48375 </t>
  </si>
  <si>
    <t>Tanjun Jati B Unit 5 and 6 (2140MW)</t>
  </si>
  <si>
    <t>http://www.jbic.go.jp/en/efforts/environment/projects/48649</t>
  </si>
  <si>
    <t>http://www.nexi.go.jp/en/environment/a/2016061404.html</t>
  </si>
  <si>
    <t xml:space="preserve">JBIC and NEXI </t>
  </si>
  <si>
    <t>https://www.jica.go.jp/english/our_work/social_environmental/id/asia/south/pakistan/c8h0vm000090s2bv.html</t>
  </si>
  <si>
    <t>http://www.sourcewatch.org/index.php/Lakhra_power_station</t>
  </si>
  <si>
    <t>Lakhra Power Station</t>
  </si>
  <si>
    <t>Moved from Thar to Lakhra</t>
  </si>
  <si>
    <t>Lakhra Power Generation Company Limited (GENCO-IV)</t>
  </si>
  <si>
    <t>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EBRD RESPONSE: Equity investment to support privatisation of the energy sector. Proceeds of the entire share issue were for the priority capital investment needs of the company, mainly for rehabilitation at its existing four power stations and the preparatory work for prospective new plants.</t>
  </si>
  <si>
    <t>CANCELLED</t>
  </si>
  <si>
    <t>EBRD RESPONSE: coking coal investment</t>
  </si>
  <si>
    <t>Part of the loan went for large repairs, modernizations and new investments into the existing coal installations.  
EBRD RESPONSE: Financed the extension of the existing combined heat and power facility, which includes the conversion of the existing coal boiler into a biofuel boiler.</t>
  </si>
  <si>
    <t>Initial working capital, and part of the costs for the equipment required for contract mining of the UHG coking coal mine
EBRD RESPONSE: coking coal investment</t>
  </si>
  <si>
    <t>The coal mine was to begin in early 2009 with the mining of about 0.6 Mtpa of coking coal. The the second development phase will increase the production to 1.75 Mtpa of cleaned coking coal
EBRD RESPONSE: coking coal investment</t>
  </si>
  <si>
    <t>The is part of a refinancing package to repay the existing project finance loan given by EBRD in 2005 for a 464 MW lignite-fired power unit and to finance the construction of a new 154 MWt/ 50 MWe biomass boiler
EBRD RESPONSE: Financed the installation of a biomass fired CFB 154 MW boiler at the Konin power plant</t>
  </si>
  <si>
    <t xml:space="preserve">Financing for the establishment of a coal recycling business to produce energy coal from waste dumps and tailing ponds in Eastern Ukraine.
EBRD RESPONSE: Coal recycling of coking coal. </t>
  </si>
  <si>
    <t>Development of Coal Energy’s waste coal recycling and beneficiation businesses, as well as mechanisation, energy efficiency and environmental, health &amp; safety (“EHS”) upgrades at its priority mines
EBRD RESPONSE: This project has been partially cancelled</t>
  </si>
  <si>
    <t xml:space="preserve">Finance for the purchase of (1) a coal excavator, conveyor and spreader system for Field C of the Kolubara mining basin,
(2) a spreader system for the Tamnava West field and
(3) a coal management system for the whole of the Kolubara mining operations
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t>
  </si>
  <si>
    <t xml:space="preserve">The financing will be used for the construction of the CHP5 coal fired combined heat and power plant in Mongolia's capital, Ulaanbaatar. GDF Suez (30%), Sojitz(30%), POSCO(30%) and Newcom(10%) are the sponsors of the project.  The Central Region Electricity Transmission Company will be the offtaker for the power under a 25-year PPA, while the Central Region Electricity Transmission Company will purchase the heat. The total cost of the project is estimated at $1.2billion The operations are expected to begin in 2017.
EBRD RESPONSE; No decision/approval </t>
  </si>
  <si>
    <t>Have listed this coal seam methane financing of $2,950,000,000 but have not included it in totals. 
EXIM RESPONSE; This is a natural gas extraction-LNG project. No coal is mined.</t>
  </si>
  <si>
    <t>Have listed this coal seam methane financing of  $1,800,000,000 but have not included it in totals. 
EXIM RESPONSE: This is a natural gas extraction-LNG project. No coal is mined.</t>
  </si>
  <si>
    <t>EXIM RESPONSE: The Oyu Tolgoi mine project no longer has an associated power plant, coal or otherwise.  The mine will obtain power from another source.  EXIM’s only involvement remains with the development of the copper/gold mine itself.</t>
  </si>
  <si>
    <t>EXIM RESPONSE: EXIM does not have a pending application for this project.</t>
  </si>
  <si>
    <t>"Due to legal restrictions we are not able to name possible new projects nor to correct possible wrong information in your database."</t>
  </si>
  <si>
    <t>EXIM US</t>
  </si>
  <si>
    <t>Received xls file with responses on status of each project</t>
  </si>
  <si>
    <t>Coal export terminal, from EFIC 2011 Annual Report
EFIC RESPONSE: ).  The second reference to WICET of ca. US$97.7m is accurate</t>
  </si>
  <si>
    <t>EFIC</t>
  </si>
  <si>
    <t>Mining / construction services
EFIC RESPONSE: Multiple references to NRW are incorrectly allocated to coal mining.  The bonding lines provided in each instance were in relation to iron ore mining operations</t>
  </si>
  <si>
    <t>Equity investment in ACWA Power / International Company for Water and Power projects includes support for a 270 MW coal power plant in Mozambique and a 450 MW coal power plant in South Africa. 
This project differs from the institution's list of projects. Primary areas of disagreement are on 1) policy loans that included coal components, 2) private sector financing to projects or companies that include coal components or rely on coal power and 3) financing to financial intermediaries that have a heavy emphasis on supporting coal.
Bank Response: IFC’s financing agreements explicitly state that IFC funds cannot be used in ACWA coal projects. Funds from the IFC disbursement to ACWA were used in renewable energy projects. Note: ACWA’s coal projects have yet to reach financial close.</t>
  </si>
  <si>
    <t>ADB RESPONSE: This is a Technical Assistance. ADB does not count it as part of its loan investments</t>
  </si>
  <si>
    <t>ADB Project 42117- 013: Source of Funding - ADB Ordinary Capital Resources and ADB/Climate Change Fund. Loan and grant. Integrated gasification combined cycle (IGCC)
ADB RESPONSE: This is a Policy Advisory Technical Assistance. ADB does not count it as part of its loan investments</t>
  </si>
  <si>
    <t>ADB RESPONSE: This was not found in ADB project database.</t>
  </si>
  <si>
    <t>ABD Project 47094-001: Source of Funding - ADB Ordinary Capital Resources ($870 million) &amp; ADB/Asian Development Fund ($30 million). Loan (Dec 2013) and Grant (Aug 2013) Supercritical; Power Plant emission are divided evenly among the G20 countries that provided funding to the projects. 
ADB RESPONSE: Confirmed</t>
  </si>
  <si>
    <t>Coal-to-liquids
ADB Project 48029-001: Source of Funding - ADB/Technical Assistance Special Fund ($0.35 m.). Coal-to-liquid (CTL) process. 
ADB RESPONSE: This is a Policy Advisory Technical Assistance. ADB does not count it as part of its loan investments</t>
  </si>
  <si>
    <t>http://mediaprofesi.com/industri/2136-pt-dssp-power-sumsel-pltu-ipp-sumsel-5-siap-beroperasi-tahun-2015.html</t>
  </si>
  <si>
    <t>http://news.xinhuanet.com/world/2012-12/04/c_113907348.htm; http://www.sourcewatch.org/index.php/Sumsel-5_power_station
http://climatepolicyinitiative.org/wp-content/uploads/2015/11/Slowing-the-Growth-of-Coal-Power-Outside-China.pdf</t>
  </si>
  <si>
    <t>Kendari-3</t>
  </si>
  <si>
    <t>http://static.sse.com.cn/disclosure/listedinfo/announcement/c/2015-08-20/601669_20150820_1.pdf</t>
  </si>
  <si>
    <t>Sinohydro</t>
  </si>
  <si>
    <t>Pangkalan Susu Units 1 and 2 Coal Power Plant (400MW)</t>
  </si>
  <si>
    <t>http://www.powerchina.cn/art/2016/7/21/art_23_178043.html</t>
  </si>
  <si>
    <t>Bishkek CHP power station (300MW)</t>
  </si>
  <si>
    <t>Power China</t>
  </si>
  <si>
    <t>Note - additional to Kostolac 2/3 project approved in 2012
China Machinery Engineering Corporation</t>
  </si>
  <si>
    <t>http://www.sourcewatch.org/index.php/OPM_Kostolac http://cpmconsulting.rs/eng/government-adopts-legal-framework-project-kostolac-b3 http://www.bloomberg.com/news/articles/2013-11-20/serbs-sign-716-million-coal-plant-mine-deal-with-cmec http://www.rts.rs/page/stories/sr/story/13/Ekonomija/1413586/Nikoli%C4%87+sa+kineskom+delegacijom.html (see pp. 7-8) http://www.bloomberg.com/news/articles/2012-09-27/serbia-will-seek-chinese-funding-to-expand-kostolac-power-plant http://www.pp.u-tokyo.ac.jp/research/dp/documents/GraSPP-DP-E-14-003-SOM.pdf http://www.sourcewatch.org/index.php/TPP_Kostolac_Power_Station http://www.reuters.com/article/2013/11/05/serbia-energy-china-idUSL5N0IQ3PF20131105 
https://en.wikipedia.org/wiki/TPP_Kostolac_B3 http://www.tradefinancemagazine.com/Article/3275764/Sectors/23007/China-Ex-Im-to-fund-1-billion-Serbian-coal-plant.html
http://bankwatch.org/our-work/projects/kostolac-lignite-power-plant-serbia</t>
  </si>
  <si>
    <t>Construction</t>
  </si>
  <si>
    <t xml:space="preserve">The loan is intended to finance EVN's purchase of a whole set of machineries and equipment including steam turbines and generators (manufactured by TOSHIBA CORPORATION) by engineering, procurement and construction ("EPC") basis from SUMITOMO CORPORATION for a super critical coal-fired power plant (688 MW x 1 unit) to be built in the Duyen Hai district, Tra Vinh Province, in the southern part of Vietnam.
</t>
  </si>
  <si>
    <t>Bank of China, the Industrial and Commercial Bank of China (ICBC) and the China Development Bank (CDB) have reportedly invested 85% of the toal $1.25 billion (see: http://talkvietnam.com/2012/12/work-begins-on-duyen-hai-3-thermopower-plant/#.UoL5L_mTySo). We have equally allocated the share by each of these Chinese institutions as no readily available data was found on the breakout.
Dongfang Electric Corporation EPC</t>
  </si>
  <si>
    <t>Duyen Hai 3 (1245MW)</t>
  </si>
  <si>
    <t>construction</t>
  </si>
  <si>
    <t>http://af.reuters.com/article/energyOilNews/idAFL4N18Y264
http://www.itochu.co.jp/ja/news/2011/111007.html</t>
  </si>
  <si>
    <t>https://ijglobal.com/articles/100054/central-java-financial-close-slips-again</t>
  </si>
  <si>
    <t>As a rule, the government of the Federal Republic of Germany does not provide Hermes Cover for any transactions which will have severe negative ecological and social consequences. Germany welcomes all international efforts to mitigate the impacts of climate change and, in particular, to reduce greenhouse gas emissions. In this context, the Federal Government is committed to a transformation of the energy systems from fossil fuels to renewable energies and advocates special support for renewable energies and carbon efficient technologies.
The cover policy in respect of the energy industry takes this approach into account. Thus, on the one hand renewable energy projects and climate protection technologies are particularly supported with special financing conditions such as long repayment periods of up to 18 years.
Subject to certain conditions being met, the Federal Government provides Hermes Cover for supplies and services in connection with coal-fired power stations in order to enable countries which continue to be dependent on fossil fuels for their energy supply to use the best and most environmentally friendly power plant technologies. On OECD level, the Federal Government successfully campaigned for uniform standards in connection with the granting of export credit guarantees for supplies and services intended for coal-fired power stations. The Sector Understanding on Export Credits for Coal-Fired Electricity Generation Projects, which the OECD approved in November 2015, provides that, as a rule, only highly efficient and best technologies for the construction and modernisation of coal-fired power stations can be supported with export credit guarantees. How coal-fired power stations can be covered under export credit guarantees after the entry into force of the new rules in 2017 depends on the size of the power station, the technologies employed and the buyer’s country. See:
http://www.oecd.org/officialdocuments/publicdisplaydocumentpdf/?cote=TAD/PG(2015)9/FINAL&amp;docLanguage=En
Moreover, projects can only be supported if they are consistent with the national climate protection strategy of the buyer’s country and more climate-friendly alternatives are not available. The agreement provides for exemptions for so-called energy islands and countries with an electrification rate of less than 90%.
Cover for the coal power industry
During the past ten years (2006 – 2015) the Federal Government supported 14 projects in the coal-fired power plant industry with Hermes Cover having a total volume of 3.53 billion euros. By comparison, 192 renewable energies projects with a total value of 7.25 billion euros were covered during the same period. In 2015 and the first half of 2016 no projects in the coal-fired power plant industry were supported. 
The possibilities to relate supplies and services to coal mining projects and projects in connection with the transmission and distribution of energy generated in coal-fired power stations are limited. According to our internal review no support was given to projects related to the transmission and distribution of coal energy in 2015 and the first half of 2016. One project related to coal mining was supported in 2015 and two in 2016. 
Statistics
We cannot fully understand the figures presented in the NRDC report. Differences in databases may result from supplies and services being allocated to different groups of goods (example: roads and tunnels for the development of a mine (mining or infrastructure?). Euler Hermes reports its data in accordance with international standards to the OECD. In doing so, only supplies and services on credit terms are taken into account.</t>
  </si>
  <si>
    <t>2007</t>
  </si>
  <si>
    <t>2008</t>
  </si>
  <si>
    <t>2009</t>
  </si>
  <si>
    <t>2010</t>
  </si>
  <si>
    <t>2011</t>
  </si>
  <si>
    <t>2012</t>
  </si>
  <si>
    <t>2013</t>
  </si>
  <si>
    <t>2014</t>
  </si>
  <si>
    <t>2015</t>
  </si>
  <si>
    <t>2016</t>
  </si>
  <si>
    <t>Total finance  2,845,203,200; USC</t>
  </si>
  <si>
    <t>IJGlobal article indicates prospective JBIC and NEXI participation.
$800m total project cost; Morupule B Phase II Units 5 &amp; 6; subcritical</t>
  </si>
  <si>
    <t>USC</t>
  </si>
  <si>
    <t>Country totals were calculated based on the sum of the individual projects that are financed by all banks in a given country, plus the country's financing measured as a share of multilateral projects financed, based on the country's share of contributions to the multilateral bank as a whole.</t>
  </si>
  <si>
    <t xml:space="preserve">All documented projects are based on institution websites, public or paid databases, or published reports or news. We relied on data presented by the institution where available. Some institutions do not make project data readily available. In these cases, we relied on other documented sources. </t>
  </si>
  <si>
    <t>The amount for each project is listed in US Dollars</t>
  </si>
  <si>
    <t>Where information is available, the recipient country for the project financing is shown.</t>
  </si>
  <si>
    <t>Assumptions and additional relevant information on the projects are included in the Notes column. In any place where we had to make an assumption given the lack of data, we have documented those assumptions in the Notes column for that project. Responses from the institution to our inquiries about the project are also listed here.</t>
  </si>
  <si>
    <t>For plants funded by multiple institutions, the MW value was divided as a share between the institutions</t>
  </si>
  <si>
    <t>Emissions from coal mining, coal infrastructures and coal R&amp;D projects have not been calculated. Emissions for many coal plant projects are not included as the plant size information was missing for them despite our research. All new coal plants are included; for refurbishment/modernization of existing coal plants, they have been excluded when there is a mention that the refurbishment does not prolong the lifetime of the plant (e.g. emissions control), and they have been included in all other cases.</t>
  </si>
  <si>
    <t>Indicates if a project is financed by multiple G20 countries because it is through a Multilateral Development Bank, or if there were multiple institutions in the G20 countries that provided funding for the same project.</t>
  </si>
  <si>
    <t xml:space="preserve">All additional coal project data was collected by the Natural Resources Defense Council and Oil Change International with gracious assistance from a number of additional organizations: Japan Center for Sustainable Environment and Society for JBIC &amp; NEXI, Urgewald for KfW and Euler Hermes. All data errors and assumptions are those of the authors and not of these organizations. </t>
  </si>
  <si>
    <t>Pending Projects</t>
  </si>
  <si>
    <t>We have attempted to include "pending" projects but this list is incomplete. Pending projects listed are based on publicly available sources of information for projects under consideration by various institutions. "Pending" indicates that finance has not yet been approved by the institution for the project. Since most organizations don't list information about pending projects publicly, this list should not be viewed as exhuastive. Further, for several documented "pending" projects we were unable to find public data on the expected investment in the project, so these values were not included. Pending projects were listed with an approval date of 1/1/2050 to simplify inclusion in the data set and automated charts.</t>
  </si>
  <si>
    <t>A note on KfW</t>
  </si>
  <si>
    <t xml:space="preserve">Double counting of emissions has been eliminated by counting each project only once even if it was supported by several financial institutions. In the case of a project supported by several financial institutions, emissions have been allocated equally to the number of G20 financial institutions involved (50% each for 2 institutions, 33% each for three, etc), in order to be able to aggregate results for all financial institutions. </t>
  </si>
  <si>
    <r>
      <t xml:space="preserve">·       </t>
    </r>
    <r>
      <rPr>
        <b/>
        <sz val="11"/>
        <rFont val="Arial"/>
        <family val="2"/>
      </rPr>
      <t>Coal Power Plant:</t>
    </r>
    <r>
      <rPr>
        <sz val="11"/>
        <rFont val="Arial"/>
        <family val="2"/>
      </rPr>
      <t xml:space="preserve"> "Coal Power Plant-New" are projects that support the construction of either a new plant or a new coal-unit (e.g., an additional boiler) at an existing power plant that expanded its capacity. "Coal Power Plant-Existing" are projects that support investments at an existing plant but didn't involve the construction of a new power-unit as far as we could tell. It was not always possible to distinguish the specific project type for some coal power plants so these were documented simply as "Coal Power Plant". </t>
    </r>
  </si>
  <si>
    <r>
      <t xml:space="preserve">·       </t>
    </r>
    <r>
      <rPr>
        <b/>
        <sz val="11"/>
        <rFont val="Arial"/>
        <family val="2"/>
      </rPr>
      <t>Coal Power Plant Emissions Control: “</t>
    </r>
    <r>
      <rPr>
        <sz val="11"/>
        <rFont val="Arial"/>
        <family val="2"/>
      </rPr>
      <t xml:space="preserve">Coal Power Plant Emissions Control” are projects </t>
    </r>
    <r>
      <rPr>
        <sz val="11"/>
        <color indexed="8"/>
        <rFont val="Arial"/>
        <family val="2"/>
      </rPr>
      <t>financing emissions controls on existing coal power plants</t>
    </r>
  </si>
  <si>
    <r>
      <t xml:space="preserve">·       </t>
    </r>
    <r>
      <rPr>
        <b/>
        <sz val="11"/>
        <rFont val="Arial"/>
        <family val="2"/>
      </rPr>
      <t>Coal Mining:</t>
    </r>
    <r>
      <rPr>
        <sz val="11"/>
        <rFont val="Arial"/>
        <family val="2"/>
      </rPr>
      <t xml:space="preserve"> "Coal Mining" projects are projects that clearly supported coal mining (i.e., through direct investment in a coal mine, investment in mining equipment). "Coal Mining-Imports" were projects that supported a country in expanding its ability to import coal. </t>
    </r>
  </si>
  <si>
    <r>
      <t xml:space="preserve">·       </t>
    </r>
    <r>
      <rPr>
        <b/>
        <sz val="11"/>
        <rFont val="Arial"/>
        <family val="2"/>
      </rPr>
      <t>T&amp;D:</t>
    </r>
    <r>
      <rPr>
        <sz val="11"/>
        <rFont val="Arial"/>
        <family val="2"/>
      </rPr>
      <t xml:space="preserve"> "T&amp;D" are projects that supported transmission and distribution where it was clear that the project was supported coal power plants (e.g., the country's electricity sector at the time of the project was dominated by coal power plants or the transmission line was specifically for a coal plant). </t>
    </r>
  </si>
  <si>
    <r>
      <t xml:space="preserve">·       </t>
    </r>
    <r>
      <rPr>
        <b/>
        <sz val="11"/>
        <rFont val="Arial"/>
        <family val="2"/>
      </rPr>
      <t>Other/unspecified:</t>
    </r>
    <r>
      <rPr>
        <sz val="11"/>
        <rFont val="Arial"/>
        <family val="2"/>
      </rPr>
      <t xml:space="preserve"> </t>
    </r>
    <r>
      <rPr>
        <sz val="11"/>
        <color indexed="8"/>
        <rFont val="Arial"/>
        <family val="2"/>
      </rPr>
      <t xml:space="preserve">Other coal-related finance, including coal export terminals, development policy loans linked to coal, and loans to financial intermediaries supporting coal where the projects supported are unclear. </t>
    </r>
  </si>
  <si>
    <t>Institutions Contacted*</t>
  </si>
  <si>
    <t>* Not all institutions were contacted. The institutions contact were those that financed new projects since the last report published in May 2016.</t>
  </si>
  <si>
    <t>If you have questions regarding the database, contact Han Chen at hchen@nrdc.org</t>
  </si>
  <si>
    <t>Shenhua Group and Indonesia State Electricity Company</t>
  </si>
  <si>
    <t>Java-7 Coal-Fired Power Plant (2000MW)</t>
  </si>
  <si>
    <t>https://ijglobal.com/data/transaction/32275/java-7-coal-fired-power-plant-2000mw-ppp</t>
  </si>
  <si>
    <t>Financed</t>
  </si>
  <si>
    <t>Engro Powergen Limited (50.1%), Habib Bank Limited (9.5%), Liberty Mills Limited (5.4%), China Machinery Engineering Corporation (35%)</t>
  </si>
  <si>
    <t>The financing will be used for the development of a 660MW mine-mouth coal-fired power plant in Tharparkar, Sindh, Pakistan. This is the first phase of Thar project and in phase two will be added another 660MW power to the plant facility.</t>
  </si>
  <si>
    <t>Government of Sindh (54.7%), Engro Powergen Limited (11.9%), Thal Limited (11.9%), Habib Bank Limited (9.5%), Hub Power Company Ltd (8.0%), China Machinery Engineering Corporation (4.0%); </t>
  </si>
  <si>
    <t>Date: November 14, 2016</t>
  </si>
  <si>
    <t>Published by Natural Resources Defense Council and Oil Change International</t>
  </si>
  <si>
    <t>This database accompanies the report Carbon Trap: How International Coal Finance Undermines the Paris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</si>
</sst>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_);[Red]\(&quot;$&quot;#,##0\)"/>
    <numFmt numFmtId="44" formatCode="_(&quot;$&quot;* #,##0.00_);_(&quot;$&quot;* \(#,##0.00\);_(&quot;$&quot;* &quot;-&quot;??_);_(@_)"/>
    <numFmt numFmtId="43" formatCode="_(* #,##0.00_);_(* \(#,##0.00\);_(* &quot;-&quot;??_);_(@_)"/>
    <numFmt numFmtId="164" formatCode="_(* #,##0_);_(* \(#,##0\);_(* &quot;-&quot;??_);_(@_)"/>
    <numFmt numFmtId="165" formatCode="[$-40C]General"/>
    <numFmt numFmtId="166" formatCode="[$-407]General"/>
    <numFmt numFmtId="167" formatCode="&quot;$&quot;#,##0.00"/>
    <numFmt numFmtId="168" formatCode="#,##0.00&quot; &quot;;&quot; (&quot;#,##0.00&quot;)&quot;;&quot; -&quot;#&quot; &quot;;@&quot; &quot;"/>
    <numFmt numFmtId="169" formatCode="#,##0.00&quot; &quot;[$€-407];[Red]&quot;-&quot;#,##0.00&quot; &quot;[$€-407]"/>
    <numFmt numFmtId="170" formatCode="&quot; &quot;#,##0.00&quot; &quot;;&quot; (&quot;#,##0.00&quot;)&quot;;&quot; -&quot;#&quot; &quot;;&quot; &quot;@&quot; &quot;"/>
    <numFmt numFmtId="171" formatCode="#,##0.00&quot; &quot;[$€-40C];[Red]&quot;-&quot;#,##0.00&quot; &quot;[$€-40C]"/>
    <numFmt numFmtId="172" formatCode="&quot;$&quot;#,##0"/>
    <numFmt numFmtId="173" formatCode="[$-409]d\-mmm\-yy;@"/>
    <numFmt numFmtId="174" formatCode="_(&quot;$&quot;* #,##0_);_(&quot;$&quot;* \(#,##0\);_(&quot;$&quot;* &quot;-&quot;??_);_(@_)"/>
    <numFmt numFmtId="175" formatCode="[$-F800]dddd\,\ mmmm\ dd\,\ yyyy"/>
    <numFmt numFmtId="176" formatCode="0.0%"/>
    <numFmt numFmtId="177" formatCode="0.0000%"/>
  </numFmts>
  <fonts count="92">
    <font>
      <sz val="11"/>
      <color theme="1"/>
      <name val="Calibri"/>
      <family val="2"/>
      <scheme val="minor"/>
    </font>
    <font>
      <sz val="11"/>
      <color theme="1"/>
      <name val="Calibri"/>
      <family val="2"/>
      <scheme val="minor"/>
    </font>
    <font>
      <sz val="11"/>
      <color theme="0"/>
      <name val="Calibri"/>
      <family val="2"/>
      <scheme val="minor"/>
    </font>
    <font>
      <sz val="10"/>
      <name val="Verdana"/>
      <family val="2"/>
    </font>
    <font>
      <u/>
      <sz val="10"/>
      <color indexed="12"/>
      <name val="Verdana"/>
      <family val="2"/>
    </font>
    <font>
      <sz val="11"/>
      <name val="Calibri"/>
      <family val="2"/>
      <scheme val="minor"/>
    </font>
    <font>
      <b/>
      <sz val="10"/>
      <color theme="0"/>
      <name val="Calibri"/>
      <family val="2"/>
      <scheme val="minor"/>
    </font>
    <font>
      <sz val="10"/>
      <color theme="0"/>
      <name val="Calibri"/>
      <family val="2"/>
      <scheme val="minor"/>
    </font>
    <font>
      <sz val="10"/>
      <color indexed="8"/>
      <name val="Verdana"/>
      <family val="2"/>
    </font>
    <font>
      <u/>
      <sz val="11"/>
      <color indexed="12"/>
      <name val="Arial"/>
      <family val="2"/>
    </font>
    <font>
      <sz val="11"/>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i/>
      <sz val="16"/>
      <color indexed="8"/>
      <name val="Arial"/>
      <family val="2"/>
    </font>
    <font>
      <b/>
      <i/>
      <u/>
      <sz val="11"/>
      <color indexed="8"/>
      <name val="Arial"/>
      <family val="2"/>
    </font>
    <font>
      <sz val="10"/>
      <color theme="1"/>
      <name val="Calibri"/>
      <family val="2"/>
      <scheme val="minor"/>
    </font>
    <font>
      <sz val="10"/>
      <color rgb="FF9C0006"/>
      <name val="Calibri"/>
      <family val="2"/>
      <scheme val="minor"/>
    </font>
    <font>
      <b/>
      <sz val="10"/>
      <color rgb="FFFA7D00"/>
      <name val="Calibri"/>
      <family val="2"/>
      <scheme val="minor"/>
    </font>
    <font>
      <i/>
      <sz val="10"/>
      <color rgb="FF7F7F7F"/>
      <name val="Calibri"/>
      <family val="2"/>
      <scheme val="minor"/>
    </font>
    <font>
      <u/>
      <sz val="8"/>
      <color rgb="FF800080"/>
      <name val="Calibri"/>
      <family val="2"/>
      <scheme val="minor"/>
    </font>
    <font>
      <sz val="10"/>
      <color rgb="FF006100"/>
      <name val="Calibri"/>
      <family val="2"/>
      <scheme val="minor"/>
    </font>
    <font>
      <u/>
      <sz val="8"/>
      <color rgb="FF0000FF"/>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b/>
      <sz val="10"/>
      <color theme="1"/>
      <name val="Calibri"/>
      <family val="2"/>
      <scheme val="minor"/>
    </font>
    <font>
      <sz val="10"/>
      <color rgb="FFFF0000"/>
      <name val="Calibri"/>
      <family val="2"/>
      <scheme val="minor"/>
    </font>
    <font>
      <sz val="10"/>
      <name val="Arial"/>
      <family val="2"/>
    </font>
    <font>
      <u/>
      <sz val="10"/>
      <color indexed="12"/>
      <name val="Arial"/>
      <family val="2"/>
    </font>
    <font>
      <sz val="10"/>
      <color indexed="8"/>
      <name val="Calibri"/>
      <family val="2"/>
    </font>
    <font>
      <sz val="10"/>
      <color indexed="9"/>
      <name val="Calibri"/>
      <family val="2"/>
    </font>
    <font>
      <sz val="10"/>
      <color rgb="FF9C0006"/>
      <name val="Calibri"/>
      <family val="2"/>
    </font>
    <font>
      <b/>
      <sz val="10"/>
      <color rgb="FFFA7D00"/>
      <name val="Calibri"/>
      <family val="2"/>
    </font>
    <font>
      <b/>
      <sz val="10"/>
      <color indexed="9"/>
      <name val="Calibri"/>
      <family val="2"/>
    </font>
    <font>
      <i/>
      <sz val="10"/>
      <color rgb="FF7F7F7F"/>
      <name val="Calibri"/>
      <family val="2"/>
    </font>
    <font>
      <sz val="10"/>
      <color rgb="FF006100"/>
      <name val="Calibri"/>
      <family val="2"/>
    </font>
    <font>
      <u/>
      <sz val="8"/>
      <color indexed="12"/>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indexed="8"/>
      <name val="Calibri"/>
      <family val="2"/>
    </font>
    <font>
      <sz val="10"/>
      <color indexed="10"/>
      <name val="Calibri"/>
      <family val="2"/>
    </font>
    <font>
      <b/>
      <sz val="11"/>
      <color theme="1"/>
      <name val="Calibri"/>
      <family val="2"/>
      <scheme val="minor"/>
    </font>
    <font>
      <b/>
      <sz val="11"/>
      <color theme="0"/>
      <name val="Calibri"/>
      <family val="2"/>
      <scheme val="minor"/>
    </font>
    <font>
      <sz val="11"/>
      <name val="Arial"/>
      <family val="2"/>
    </font>
    <font>
      <b/>
      <sz val="11"/>
      <name val="Arial"/>
      <family val="2"/>
    </font>
    <font>
      <b/>
      <i/>
      <sz val="11"/>
      <name val="Arial"/>
      <family val="2"/>
    </font>
    <font>
      <i/>
      <sz val="11"/>
      <color theme="1"/>
      <name val="Calibri"/>
      <family val="2"/>
      <scheme val="minor"/>
    </font>
    <font>
      <sz val="11"/>
      <color rgb="FF000000"/>
      <name val="Calibri"/>
      <family val="2"/>
      <scheme val="minor"/>
    </font>
    <font>
      <sz val="11"/>
      <color theme="1"/>
      <name val="Calibri"/>
      <family val="3"/>
      <charset val="128"/>
      <scheme val="minor"/>
    </font>
    <font>
      <u/>
      <sz val="11"/>
      <color theme="10"/>
      <name val="Calibri"/>
      <family val="3"/>
      <charset val="128"/>
      <scheme val="minor"/>
    </font>
    <font>
      <u/>
      <sz val="11"/>
      <color indexed="12"/>
      <name val="Calibri"/>
      <family val="2"/>
      <scheme val="minor"/>
    </font>
    <font>
      <b/>
      <sz val="12"/>
      <name val="Verdana"/>
      <family val="2"/>
    </font>
    <font>
      <b/>
      <sz val="10"/>
      <name val="Verdana"/>
      <family val="2"/>
    </font>
    <font>
      <i/>
      <sz val="10"/>
      <name val="Verdana"/>
      <family val="2"/>
    </font>
    <font>
      <sz val="10"/>
      <color indexed="63"/>
      <name val="Verdana"/>
      <family val="2"/>
    </font>
    <font>
      <sz val="10"/>
      <name val="Verdana"/>
      <family val="2"/>
    </font>
    <font>
      <sz val="10"/>
      <color indexed="8"/>
      <name val="Arial"/>
      <family val="2"/>
    </font>
    <font>
      <b/>
      <sz val="8"/>
      <color indexed="8"/>
      <name val="Arial"/>
      <family val="2"/>
    </font>
    <font>
      <sz val="9"/>
      <color indexed="63"/>
      <name val="Arial"/>
      <family val="2"/>
    </font>
    <font>
      <i/>
      <sz val="10"/>
      <name val="Verdana"/>
      <family val="2"/>
    </font>
    <font>
      <sz val="11"/>
      <color rgb="FF252525"/>
      <name val="Calibri"/>
      <family val="2"/>
      <scheme val="minor"/>
    </font>
    <font>
      <sz val="11"/>
      <color indexed="8"/>
      <name val="Calibri"/>
      <family val="2"/>
      <scheme val="minor"/>
    </font>
    <font>
      <sz val="9"/>
      <name val="Arial"/>
      <family val="2"/>
    </font>
    <font>
      <u/>
      <sz val="11"/>
      <name val="Calibri"/>
      <family val="2"/>
      <scheme val="minor"/>
    </font>
    <font>
      <sz val="10"/>
      <name val="Times New Roman"/>
      <family val="1"/>
    </font>
    <font>
      <u/>
      <sz val="11"/>
      <color rgb="FFFF0000"/>
      <name val="Calibri"/>
      <family val="2"/>
      <scheme val="minor"/>
    </font>
    <font>
      <sz val="11"/>
      <color theme="1"/>
      <name val="Calibri"/>
      <family val="2"/>
      <scheme val="minor"/>
    </font>
    <font>
      <sz val="11"/>
      <color rgb="FF333333"/>
      <name val="Arial"/>
      <family val="2"/>
    </font>
    <font>
      <u/>
      <sz val="11"/>
      <color indexed="12"/>
      <name val="Calibri"/>
      <family val="2"/>
      <scheme val="minor"/>
    </font>
    <font>
      <sz val="11"/>
      <name val="Calibri"/>
      <family val="2"/>
      <scheme val="minor"/>
    </font>
    <font>
      <sz val="14"/>
      <color theme="1"/>
      <name val="Calibri"/>
      <family val="2"/>
      <scheme val="minor"/>
    </font>
    <font>
      <b/>
      <sz val="14"/>
      <name val="Calibri"/>
      <family val="2"/>
      <scheme val="minor"/>
    </font>
    <font>
      <sz val="14"/>
      <color theme="0"/>
      <name val="Calibri"/>
      <family val="2"/>
      <scheme val="minor"/>
    </font>
    <font>
      <b/>
      <sz val="14"/>
      <color theme="0"/>
      <name val="Calibri"/>
      <family val="2"/>
      <scheme val="minor"/>
    </font>
    <font>
      <sz val="11"/>
      <color rgb="FFFF0000"/>
      <name val="Calibri"/>
      <family val="2"/>
      <scheme val="minor"/>
    </font>
    <font>
      <sz val="10"/>
      <color rgb="FF333333"/>
      <name val="Arial"/>
      <family val="2"/>
    </font>
    <font>
      <u/>
      <sz val="10"/>
      <name val="Verdana"/>
      <family val="2"/>
    </font>
    <font>
      <b/>
      <sz val="11"/>
      <color rgb="FFFF0000"/>
      <name val="Calibri"/>
      <family val="2"/>
      <scheme val="minor"/>
    </font>
    <font>
      <u/>
      <sz val="11"/>
      <color theme="10"/>
      <name val="Calibri"/>
      <family val="2"/>
      <scheme val="minor"/>
    </font>
    <font>
      <sz val="11"/>
      <color rgb="FF333333"/>
      <name val="Calibri"/>
      <family val="2"/>
      <scheme val="minor"/>
    </font>
    <font>
      <sz val="11"/>
      <name val="Calibri"/>
      <scheme val="minor"/>
    </font>
    <font>
      <sz val="11"/>
      <color theme="1"/>
      <name val="Calibri"/>
      <scheme val="minor"/>
    </font>
    <font>
      <sz val="8"/>
      <color theme="1"/>
      <name val="Calibri"/>
      <family val="2"/>
      <scheme val="minor"/>
    </font>
    <font>
      <u/>
      <sz val="11"/>
      <color indexed="12"/>
      <name val="Calibri"/>
      <scheme val="minor"/>
    </font>
    <font>
      <sz val="11"/>
      <color theme="1"/>
      <name val="Arial"/>
      <family val="2"/>
    </font>
    <font>
      <sz val="14"/>
      <name val="Calibri"/>
      <family val="2"/>
      <scheme val="minor"/>
    </font>
    <font>
      <u/>
      <sz val="14"/>
      <color indexed="12"/>
      <name val="Calibri"/>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CE6F2"/>
        <bgColor rgb="FFDCE6F2"/>
      </patternFill>
    </fill>
    <fill>
      <patternFill patternType="solid">
        <fgColor rgb="FFF2DCDB"/>
        <bgColor rgb="FFF2DCDB"/>
      </patternFill>
    </fill>
    <fill>
      <patternFill patternType="solid">
        <fgColor rgb="FFEBF1DE"/>
        <bgColor rgb="FFEBF1DE"/>
      </patternFill>
    </fill>
    <fill>
      <patternFill patternType="solid">
        <fgColor rgb="FFE6E0EC"/>
        <bgColor rgb="FFE6E0EC"/>
      </patternFill>
    </fill>
    <fill>
      <patternFill patternType="solid">
        <fgColor rgb="FFDBEEF4"/>
        <bgColor rgb="FFDBEEF4"/>
      </patternFill>
    </fill>
    <fill>
      <patternFill patternType="solid">
        <fgColor rgb="FFFDEADA"/>
        <bgColor rgb="FFFDEADA"/>
      </patternFill>
    </fill>
    <fill>
      <patternFill patternType="solid">
        <fgColor rgb="FFB9CDE5"/>
        <bgColor rgb="FFB9CDE5"/>
      </patternFill>
    </fill>
    <fill>
      <patternFill patternType="solid">
        <fgColor rgb="FFE6B9B8"/>
        <bgColor rgb="FFE6B9B8"/>
      </patternFill>
    </fill>
    <fill>
      <patternFill patternType="solid">
        <fgColor rgb="FFD7E4BD"/>
        <bgColor rgb="FFD7E4BD"/>
      </patternFill>
    </fill>
    <fill>
      <patternFill patternType="solid">
        <fgColor rgb="FFCCC1DA"/>
        <bgColor rgb="FFCCC1DA"/>
      </patternFill>
    </fill>
    <fill>
      <patternFill patternType="solid">
        <fgColor rgb="FFB7DEE8"/>
        <bgColor rgb="FFB7DEE8"/>
      </patternFill>
    </fill>
    <fill>
      <patternFill patternType="solid">
        <fgColor rgb="FFFCD5B5"/>
        <bgColor rgb="FFFCD5B5"/>
      </patternFill>
    </fill>
    <fill>
      <patternFill patternType="solid">
        <fgColor rgb="FF95B3D7"/>
        <bgColor rgb="FF95B3D7"/>
      </patternFill>
    </fill>
    <fill>
      <patternFill patternType="solid">
        <fgColor rgb="FFD99694"/>
        <bgColor rgb="FFD99694"/>
      </patternFill>
    </fill>
    <fill>
      <patternFill patternType="solid">
        <fgColor rgb="FFC3D69B"/>
        <bgColor rgb="FFC3D69B"/>
      </patternFill>
    </fill>
    <fill>
      <patternFill patternType="solid">
        <fgColor rgb="FFB3A2C7"/>
        <bgColor rgb="FFB3A2C7"/>
      </patternFill>
    </fill>
    <fill>
      <patternFill patternType="solid">
        <fgColor rgb="FF93CDDD"/>
        <bgColor rgb="FF93CDDD"/>
      </patternFill>
    </fill>
    <fill>
      <patternFill patternType="solid">
        <fgColor rgb="FFFAC090"/>
        <bgColor rgb="FFFAC090"/>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2F2F2"/>
        <bgColor rgb="FFF2F2F2"/>
      </patternFill>
    </fill>
    <fill>
      <patternFill patternType="solid">
        <fgColor rgb="FFA5A5A5"/>
        <bgColor rgb="FFA5A5A5"/>
      </patternFill>
    </fill>
    <fill>
      <patternFill patternType="solid">
        <fgColor rgb="FFC6EFCE"/>
        <bgColor rgb="FFC6EFCE"/>
      </patternFill>
    </fill>
    <fill>
      <patternFill patternType="solid">
        <fgColor rgb="FFFFCC99"/>
        <bgColor rgb="FFFFCC99"/>
      </patternFill>
    </fill>
    <fill>
      <patternFill patternType="solid">
        <fgColor rgb="FFFFEB9C"/>
        <bgColor rgb="FFFFEB9C"/>
      </patternFill>
    </fill>
    <fill>
      <patternFill patternType="solid">
        <fgColor rgb="FFFFFFCC"/>
        <bgColor rgb="FFFFFFCC"/>
      </patternFill>
    </fill>
    <fill>
      <patternFill patternType="solid">
        <fgColor indexed="9"/>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00B0F0"/>
        <bgColor indexed="64"/>
      </patternFill>
    </fill>
    <fill>
      <patternFill patternType="solid">
        <fgColor theme="8"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theme="0"/>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4F81BD"/>
      </top>
      <bottom style="double">
        <color rgb="FF4F81BD"/>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rgb="FFACB8C6"/>
      </bottom>
      <diagonal/>
    </border>
    <border>
      <left/>
      <right style="medium">
        <color auto="1"/>
      </right>
      <top/>
      <bottom style="medium">
        <color rgb="FFACB8C6"/>
      </bottom>
      <diagonal/>
    </border>
    <border>
      <left style="medium">
        <color auto="1"/>
      </left>
      <right/>
      <top style="medium">
        <color rgb="FFACB8C6"/>
      </top>
      <bottom/>
      <diagonal/>
    </border>
    <border>
      <left/>
      <right style="medium">
        <color auto="1"/>
      </right>
      <top style="medium">
        <color rgb="FFACB8C6"/>
      </top>
      <bottom/>
      <diagonal/>
    </border>
    <border>
      <left style="thin">
        <color theme="0"/>
      </left>
      <right/>
      <top style="thin">
        <color theme="0"/>
      </top>
      <bottom/>
      <diagonal/>
    </border>
    <border>
      <left style="thin">
        <color auto="1"/>
      </left>
      <right/>
      <top/>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s>
  <cellStyleXfs count="158">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165" fontId="8" fillId="0" borderId="0"/>
    <xf numFmtId="166" fontId="8" fillId="0" borderId="0" applyBorder="0" applyProtection="0"/>
    <xf numFmtId="166" fontId="4" fillId="0" borderId="0" applyBorder="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44" fontId="3" fillId="0" borderId="0" applyFont="0" applyFill="0" applyBorder="0" applyAlignment="0" applyProtection="0"/>
    <xf numFmtId="168" fontId="8"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16" fillId="0" borderId="0" applyNumberFormat="0" applyBorder="0" applyProtection="0"/>
    <xf numFmtId="169" fontId="16" fillId="0" borderId="0" applyBorder="0" applyProtection="0"/>
    <xf numFmtId="43" fontId="3" fillId="0" borderId="0" applyFont="0" applyFill="0" applyBorder="0" applyAlignment="0" applyProtection="0"/>
    <xf numFmtId="0" fontId="17"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18" fillId="3" borderId="0" applyNumberFormat="0" applyBorder="0" applyAlignment="0" applyProtection="0"/>
    <xf numFmtId="0" fontId="19" fillId="6" borderId="4" applyNumberFormat="0" applyAlignment="0" applyProtection="0"/>
    <xf numFmtId="0" fontId="6" fillId="7" borderId="7"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0" borderId="0" applyNumberFormat="0" applyFill="0" applyBorder="0" applyAlignment="0" applyProtection="0"/>
    <xf numFmtId="0" fontId="24" fillId="5" borderId="4" applyNumberFormat="0" applyAlignment="0" applyProtection="0"/>
    <xf numFmtId="0" fontId="25" fillId="0" borderId="6" applyNumberFormat="0" applyFill="0" applyAlignment="0" applyProtection="0"/>
    <xf numFmtId="0" fontId="26" fillId="4" borderId="0" applyNumberFormat="0" applyBorder="0" applyAlignment="0" applyProtection="0"/>
    <xf numFmtId="0" fontId="17" fillId="8" borderId="8" applyNumberFormat="0" applyFont="0" applyAlignment="0" applyProtection="0"/>
    <xf numFmtId="0" fontId="27" fillId="6" borderId="5" applyNumberFormat="0" applyAlignment="0" applyProtection="0"/>
    <xf numFmtId="0" fontId="28" fillId="0" borderId="9" applyNumberFormat="0" applyFill="0" applyAlignment="0" applyProtection="0"/>
    <xf numFmtId="0" fontId="29"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0" fillId="0" borderId="0"/>
    <xf numFmtId="43" fontId="30" fillId="0" borderId="0" applyFont="0" applyFill="0" applyBorder="0" applyAlignment="0" applyProtection="0"/>
    <xf numFmtId="0" fontId="1" fillId="0" borderId="0"/>
    <xf numFmtId="43" fontId="1" fillId="0" borderId="0" applyFont="0" applyFill="0" applyBorder="0" applyAlignment="0" applyProtection="0"/>
    <xf numFmtId="0" fontId="3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0" fontId="15" fillId="0" borderId="0">
      <alignment horizontal="center"/>
    </xf>
    <xf numFmtId="0" fontId="32" fillId="33" borderId="0"/>
    <xf numFmtId="0" fontId="32" fillId="34" borderId="0"/>
    <xf numFmtId="0" fontId="32" fillId="35" borderId="0"/>
    <xf numFmtId="0" fontId="32" fillId="36" borderId="0"/>
    <xf numFmtId="0" fontId="32" fillId="37" borderId="0"/>
    <xf numFmtId="0" fontId="32" fillId="38" borderId="0"/>
    <xf numFmtId="0" fontId="32" fillId="39" borderId="0"/>
    <xf numFmtId="0" fontId="32" fillId="40" borderId="0"/>
    <xf numFmtId="0" fontId="32" fillId="41" borderId="0"/>
    <xf numFmtId="0" fontId="32" fillId="42" borderId="0"/>
    <xf numFmtId="0" fontId="32" fillId="43" borderId="0"/>
    <xf numFmtId="0" fontId="32" fillId="44" borderId="0"/>
    <xf numFmtId="0" fontId="33" fillId="45" borderId="0"/>
    <xf numFmtId="0" fontId="33" fillId="46" borderId="0"/>
    <xf numFmtId="0" fontId="33" fillId="47" borderId="0"/>
    <xf numFmtId="0" fontId="33" fillId="48" borderId="0"/>
    <xf numFmtId="0" fontId="33" fillId="49" borderId="0"/>
    <xf numFmtId="0" fontId="33" fillId="50" borderId="0"/>
    <xf numFmtId="0" fontId="33" fillId="51" borderId="0"/>
    <xf numFmtId="0" fontId="33" fillId="52" borderId="0"/>
    <xf numFmtId="0" fontId="33" fillId="53" borderId="0"/>
    <xf numFmtId="0" fontId="33" fillId="54" borderId="0"/>
    <xf numFmtId="0" fontId="33" fillId="55" borderId="0"/>
    <xf numFmtId="0" fontId="33" fillId="56" borderId="0"/>
    <xf numFmtId="0" fontId="34" fillId="57" borderId="0"/>
    <xf numFmtId="0" fontId="35" fillId="58" borderId="4"/>
    <xf numFmtId="0" fontId="36" fillId="59" borderId="7"/>
    <xf numFmtId="170" fontId="10" fillId="0" borderId="0"/>
    <xf numFmtId="168" fontId="8" fillId="0" borderId="0"/>
    <xf numFmtId="0" fontId="4" fillId="0" borderId="0"/>
    <xf numFmtId="0" fontId="4" fillId="0" borderId="0"/>
    <xf numFmtId="0" fontId="8" fillId="0" borderId="0"/>
    <xf numFmtId="0" fontId="37" fillId="0" borderId="0"/>
    <xf numFmtId="0" fontId="38" fillId="60" borderId="0"/>
    <xf numFmtId="0" fontId="15" fillId="0" borderId="0">
      <alignment horizontal="center"/>
    </xf>
    <xf numFmtId="0" fontId="15" fillId="0" borderId="0">
      <alignment horizontal="center" textRotation="90"/>
    </xf>
    <xf numFmtId="0" fontId="15" fillId="0" borderId="0">
      <alignment horizontal="center" textRotation="90"/>
    </xf>
    <xf numFmtId="0" fontId="9" fillId="0" borderId="0"/>
    <xf numFmtId="0" fontId="4" fillId="0" borderId="0"/>
    <xf numFmtId="0" fontId="39" fillId="0" borderId="0"/>
    <xf numFmtId="0" fontId="40" fillId="61" borderId="4"/>
    <xf numFmtId="0" fontId="41" fillId="0" borderId="6"/>
    <xf numFmtId="0" fontId="42" fillId="62" borderId="0"/>
    <xf numFmtId="165" fontId="10" fillId="0" borderId="0"/>
    <xf numFmtId="165" fontId="32" fillId="0" borderId="0"/>
    <xf numFmtId="0" fontId="10" fillId="63" borderId="8"/>
    <xf numFmtId="0" fontId="43" fillId="58" borderId="5"/>
    <xf numFmtId="0" fontId="16" fillId="0" borderId="0"/>
    <xf numFmtId="0" fontId="16" fillId="0" borderId="0"/>
    <xf numFmtId="171" fontId="16" fillId="0" borderId="0"/>
    <xf numFmtId="169" fontId="16" fillId="0" borderId="0"/>
    <xf numFmtId="0" fontId="44" fillId="0" borderId="10"/>
    <xf numFmtId="0" fontId="45" fillId="0" borderId="0"/>
    <xf numFmtId="0" fontId="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3" fillId="0" borderId="0">
      <alignment vertical="center"/>
    </xf>
    <xf numFmtId="38" fontId="53" fillId="0" borderId="0" applyFont="0" applyFill="0" applyBorder="0" applyAlignment="0" applyProtection="0">
      <alignment vertical="center"/>
    </xf>
    <xf numFmtId="0" fontId="54" fillId="0" borderId="0" applyNumberFormat="0" applyFill="0" applyBorder="0" applyAlignment="0" applyProtection="0">
      <alignment vertical="center"/>
    </xf>
    <xf numFmtId="0" fontId="69" fillId="0" borderId="0"/>
    <xf numFmtId="0" fontId="83" fillId="0" borderId="0" applyNumberFormat="0" applyFill="0" applyBorder="0" applyAlignment="0" applyProtection="0"/>
  </cellStyleXfs>
  <cellXfs count="522">
    <xf numFmtId="0" fontId="0" fillId="0" borderId="0" xfId="0"/>
    <xf numFmtId="0" fontId="0" fillId="0" borderId="0" xfId="0" applyAlignment="1">
      <alignment wrapText="1"/>
    </xf>
    <xf numFmtId="0" fontId="0" fillId="0" borderId="0" xfId="0" applyFont="1" applyFill="1" applyBorder="1" applyAlignment="1">
      <alignment wrapText="1"/>
    </xf>
    <xf numFmtId="0" fontId="5" fillId="0" borderId="0" xfId="3" applyFont="1" applyFill="1" applyBorder="1" applyAlignment="1">
      <alignment wrapText="1"/>
    </xf>
    <xf numFmtId="0" fontId="0" fillId="0" borderId="0" xfId="0" pivotButton="1"/>
    <xf numFmtId="0" fontId="0" fillId="0" borderId="0" xfId="0" applyAlignment="1">
      <alignment horizontal="left"/>
    </xf>
    <xf numFmtId="0" fontId="0" fillId="0" borderId="0" xfId="0" pivotButton="1" applyAlignment="1">
      <alignment wrapText="1"/>
    </xf>
    <xf numFmtId="10" fontId="0" fillId="0" borderId="0" xfId="0" applyNumberFormat="1"/>
    <xf numFmtId="172" fontId="0" fillId="0" borderId="0" xfId="0" applyNumberFormat="1"/>
    <xf numFmtId="0" fontId="0" fillId="0" borderId="0" xfId="0" applyFont="1" applyBorder="1" applyAlignment="1">
      <alignment wrapText="1"/>
    </xf>
    <xf numFmtId="0" fontId="4" fillId="0" borderId="0" xfId="4" applyFill="1" applyBorder="1" applyAlignment="1" applyProtection="1">
      <alignment wrapText="1"/>
    </xf>
    <xf numFmtId="2" fontId="0" fillId="0" borderId="0" xfId="0" applyNumberFormat="1" applyFont="1" applyBorder="1" applyAlignment="1">
      <alignment wrapText="1"/>
    </xf>
    <xf numFmtId="0" fontId="0" fillId="0" borderId="0" xfId="0" applyNumberFormat="1"/>
    <xf numFmtId="0" fontId="48" fillId="64" borderId="0" xfId="0" applyFont="1" applyFill="1" applyBorder="1" applyAlignment="1">
      <alignment wrapText="1"/>
    </xf>
    <xf numFmtId="0" fontId="49" fillId="64" borderId="0" xfId="0" applyFont="1" applyFill="1" applyBorder="1" applyAlignment="1">
      <alignment wrapText="1"/>
    </xf>
    <xf numFmtId="0" fontId="50" fillId="64" borderId="0" xfId="0" applyFont="1" applyFill="1" applyBorder="1" applyAlignment="1">
      <alignment wrapText="1"/>
    </xf>
    <xf numFmtId="0" fontId="51" fillId="0" borderId="0" xfId="0" applyFont="1"/>
    <xf numFmtId="0" fontId="0" fillId="0" borderId="0" xfId="0" applyFont="1"/>
    <xf numFmtId="0" fontId="48" fillId="0" borderId="0" xfId="0" applyFont="1" applyFill="1" applyBorder="1" applyAlignment="1">
      <alignment wrapText="1"/>
    </xf>
    <xf numFmtId="0" fontId="5" fillId="0" borderId="0" xfId="0" applyFont="1" applyFill="1" applyBorder="1" applyAlignment="1">
      <alignment horizontal="left" vertical="top" wrapText="1"/>
    </xf>
    <xf numFmtId="175" fontId="5" fillId="0" borderId="0" xfId="0" applyNumberFormat="1" applyFont="1" applyFill="1" applyBorder="1" applyAlignment="1">
      <alignment horizontal="left" vertical="top" wrapText="1"/>
    </xf>
    <xf numFmtId="175" fontId="0" fillId="0" borderId="0" xfId="0" applyNumberFormat="1" applyAlignment="1">
      <alignment horizontal="left"/>
    </xf>
    <xf numFmtId="0" fontId="0" fillId="0" borderId="0" xfId="0" applyFill="1" applyAlignment="1">
      <alignment wrapText="1"/>
    </xf>
    <xf numFmtId="0" fontId="5" fillId="0" borderId="0" xfId="3" applyFont="1" applyFill="1" applyAlignment="1">
      <alignment wrapText="1"/>
    </xf>
    <xf numFmtId="0" fontId="0" fillId="0" borderId="0" xfId="0" applyFont="1" applyFill="1" applyAlignment="1">
      <alignment wrapText="1"/>
    </xf>
    <xf numFmtId="0" fontId="0" fillId="0" borderId="0" xfId="0" applyFont="1" applyBorder="1" applyAlignment="1">
      <alignment horizontal="right" wrapText="1"/>
    </xf>
    <xf numFmtId="0" fontId="0" fillId="0" borderId="0" xfId="0" applyBorder="1"/>
    <xf numFmtId="0" fontId="5" fillId="0" borderId="0" xfId="5" applyFont="1" applyFill="1" applyAlignment="1" applyProtection="1">
      <alignment wrapText="1"/>
    </xf>
    <xf numFmtId="14" fontId="5" fillId="0" borderId="0" xfId="3" applyNumberFormat="1" applyFont="1" applyFill="1" applyAlignment="1">
      <alignment wrapText="1"/>
    </xf>
    <xf numFmtId="0" fontId="3" fillId="0" borderId="0" xfId="0" applyFont="1" applyFill="1" applyBorder="1" applyAlignment="1">
      <alignment wrapText="1"/>
    </xf>
    <xf numFmtId="0" fontId="0" fillId="0" borderId="0" xfId="0" applyFill="1"/>
    <xf numFmtId="0" fontId="56" fillId="0" borderId="0" xfId="0" applyFont="1" applyBorder="1"/>
    <xf numFmtId="0" fontId="57" fillId="0" borderId="0" xfId="0" applyFont="1" applyFill="1" applyBorder="1"/>
    <xf numFmtId="0" fontId="57" fillId="66" borderId="18" xfId="0" applyFont="1" applyFill="1" applyBorder="1" applyAlignment="1">
      <alignment horizontal="center" wrapText="1"/>
    </xf>
    <xf numFmtId="0" fontId="0" fillId="0" borderId="0" xfId="0" applyFont="1" applyFill="1" applyAlignment="1">
      <alignment horizontal="left" wrapText="1"/>
    </xf>
    <xf numFmtId="0" fontId="0" fillId="0" borderId="21" xfId="0" applyBorder="1"/>
    <xf numFmtId="3" fontId="0" fillId="0" borderId="21" xfId="0" applyNumberFormat="1" applyFont="1" applyFill="1" applyBorder="1" applyAlignment="1">
      <alignment horizontal="right"/>
    </xf>
    <xf numFmtId="10" fontId="58" fillId="0" borderId="22" xfId="0" applyNumberFormat="1" applyFont="1" applyFill="1" applyBorder="1" applyAlignment="1">
      <alignment horizontal="right" wrapText="1"/>
    </xf>
    <xf numFmtId="3" fontId="0" fillId="0" borderId="21" xfId="0" applyNumberFormat="1" applyFont="1" applyFill="1" applyBorder="1" applyAlignment="1">
      <alignment horizontal="right" wrapText="1"/>
    </xf>
    <xf numFmtId="0" fontId="0" fillId="0" borderId="21" xfId="0" applyFont="1" applyFill="1" applyBorder="1" applyAlignment="1">
      <alignment horizontal="right" wrapText="1"/>
    </xf>
    <xf numFmtId="10" fontId="58" fillId="0" borderId="22" xfId="152" applyNumberFormat="1" applyFont="1" applyFill="1" applyBorder="1"/>
    <xf numFmtId="3" fontId="0" fillId="0" borderId="0" xfId="0" applyNumberFormat="1" applyFont="1" applyFill="1" applyBorder="1" applyAlignment="1">
      <alignment horizontal="right" wrapText="1"/>
    </xf>
    <xf numFmtId="10" fontId="58" fillId="0" borderId="22" xfId="0" applyNumberFormat="1" applyFont="1" applyFill="1" applyBorder="1" applyAlignment="1">
      <alignment horizontal="right"/>
    </xf>
    <xf numFmtId="0" fontId="0" fillId="0" borderId="21" xfId="0" applyFont="1" applyFill="1" applyBorder="1" applyAlignment="1">
      <alignment horizontal="right"/>
    </xf>
    <xf numFmtId="0" fontId="0" fillId="0" borderId="22" xfId="0" applyFont="1" applyFill="1" applyBorder="1" applyAlignment="1">
      <alignment horizontal="right"/>
    </xf>
    <xf numFmtId="3" fontId="0" fillId="0" borderId="21" xfId="0" applyNumberFormat="1" applyFont="1" applyFill="1" applyBorder="1"/>
    <xf numFmtId="3" fontId="0" fillId="0" borderId="21" xfId="0" applyNumberFormat="1" applyFont="1" applyBorder="1"/>
    <xf numFmtId="3" fontId="59" fillId="0" borderId="21" xfId="0" applyNumberFormat="1" applyFont="1" applyFill="1" applyBorder="1" applyAlignment="1">
      <alignment vertical="top" wrapText="1"/>
    </xf>
    <xf numFmtId="167" fontId="58" fillId="0" borderId="21" xfId="0" applyNumberFormat="1" applyFont="1" applyFill="1" applyBorder="1"/>
    <xf numFmtId="0" fontId="58" fillId="0" borderId="22" xfId="0" applyFont="1" applyFill="1" applyBorder="1"/>
    <xf numFmtId="3" fontId="0" fillId="0" borderId="0" xfId="0" applyNumberFormat="1" applyFont="1" applyFill="1" applyBorder="1" applyAlignment="1">
      <alignment wrapText="1"/>
    </xf>
    <xf numFmtId="0" fontId="58" fillId="0" borderId="21" xfId="0" applyFont="1" applyFill="1" applyBorder="1"/>
    <xf numFmtId="167" fontId="57" fillId="0" borderId="21" xfId="0" applyNumberFormat="1" applyFont="1" applyBorder="1"/>
    <xf numFmtId="3" fontId="0" fillId="0" borderId="0" xfId="0" applyNumberFormat="1" applyFont="1" applyBorder="1" applyAlignment="1">
      <alignment wrapText="1"/>
    </xf>
    <xf numFmtId="0" fontId="57" fillId="0" borderId="21" xfId="0" applyFont="1" applyBorder="1"/>
    <xf numFmtId="0" fontId="57" fillId="0" borderId="21" xfId="0" applyFont="1" applyFill="1" applyBorder="1"/>
    <xf numFmtId="0" fontId="57" fillId="0" borderId="22" xfId="0" applyFont="1" applyFill="1" applyBorder="1"/>
    <xf numFmtId="167" fontId="58" fillId="0" borderId="21" xfId="0" applyNumberFormat="1" applyFont="1" applyBorder="1"/>
    <xf numFmtId="3" fontId="0" fillId="0" borderId="0" xfId="0" applyNumberFormat="1"/>
    <xf numFmtId="3" fontId="59" fillId="0" borderId="21" xfId="0" applyNumberFormat="1" applyFont="1" applyFill="1" applyBorder="1" applyAlignment="1">
      <alignment vertical="center" wrapText="1"/>
    </xf>
    <xf numFmtId="0" fontId="58" fillId="0" borderId="21" xfId="0" applyFont="1" applyBorder="1"/>
    <xf numFmtId="0" fontId="0" fillId="0" borderId="21" xfId="0" applyFill="1" applyBorder="1"/>
    <xf numFmtId="0" fontId="0" fillId="0" borderId="22" xfId="0" applyFill="1" applyBorder="1"/>
    <xf numFmtId="0" fontId="61" fillId="0" borderId="23" xfId="0" applyFont="1" applyFill="1" applyBorder="1" applyAlignment="1">
      <alignment horizontal="right" vertical="center" wrapText="1"/>
    </xf>
    <xf numFmtId="10" fontId="62" fillId="0" borderId="24" xfId="0" applyNumberFormat="1" applyFont="1" applyFill="1" applyBorder="1" applyAlignment="1">
      <alignment horizontal="right" vertical="center" wrapText="1"/>
    </xf>
    <xf numFmtId="10" fontId="0" fillId="0" borderId="21" xfId="0" applyNumberFormat="1" applyBorder="1"/>
    <xf numFmtId="0" fontId="61" fillId="0" borderId="25" xfId="0" applyFont="1" applyFill="1" applyBorder="1" applyAlignment="1">
      <alignment horizontal="right" vertical="center" wrapText="1"/>
    </xf>
    <xf numFmtId="176" fontId="61" fillId="0" borderId="26" xfId="152" applyNumberFormat="1" applyFont="1" applyFill="1" applyBorder="1" applyAlignment="1">
      <alignment horizontal="right" vertical="center" wrapText="1"/>
    </xf>
    <xf numFmtId="0" fontId="61" fillId="0" borderId="21" xfId="0" applyFont="1" applyFill="1" applyBorder="1" applyAlignment="1">
      <alignment horizontal="right" vertical="center" wrapText="1"/>
    </xf>
    <xf numFmtId="176" fontId="61" fillId="0" borderId="22" xfId="152" applyNumberFormat="1" applyFont="1" applyFill="1" applyBorder="1" applyAlignment="1">
      <alignment horizontal="right" vertical="center" wrapText="1"/>
    </xf>
    <xf numFmtId="0" fontId="63" fillId="0" borderId="0" xfId="0" applyFont="1" applyFill="1" applyBorder="1" applyAlignment="1">
      <alignment vertical="top" wrapText="1"/>
    </xf>
    <xf numFmtId="10" fontId="0" fillId="0" borderId="22" xfId="0" applyNumberFormat="1" applyFill="1" applyBorder="1"/>
    <xf numFmtId="0" fontId="0" fillId="0" borderId="18" xfId="0" applyBorder="1"/>
    <xf numFmtId="10" fontId="64" fillId="0" borderId="19" xfId="0" applyNumberFormat="1" applyFont="1" applyFill="1" applyBorder="1" applyAlignment="1">
      <alignment horizontal="right" wrapText="1"/>
    </xf>
    <xf numFmtId="3" fontId="0" fillId="0" borderId="18" xfId="0" applyNumberFormat="1" applyFont="1" applyBorder="1"/>
    <xf numFmtId="3" fontId="0" fillId="0" borderId="18" xfId="0" applyNumberFormat="1" applyFont="1" applyFill="1" applyBorder="1"/>
    <xf numFmtId="10" fontId="64" fillId="0" borderId="19" xfId="63" applyNumberFormat="1" applyFont="1" applyFill="1" applyBorder="1"/>
    <xf numFmtId="3" fontId="0" fillId="0" borderId="20" xfId="0" applyNumberFormat="1" applyFont="1" applyBorder="1" applyAlignment="1">
      <alignment wrapText="1"/>
    </xf>
    <xf numFmtId="10" fontId="64" fillId="0" borderId="19" xfId="0" applyNumberFormat="1" applyFont="1" applyFill="1" applyBorder="1" applyAlignment="1">
      <alignment horizontal="right"/>
    </xf>
    <xf numFmtId="0" fontId="0" fillId="0" borderId="18" xfId="0" applyFill="1" applyBorder="1"/>
    <xf numFmtId="0" fontId="0" fillId="0" borderId="19" xfId="0" applyFill="1" applyBorder="1"/>
    <xf numFmtId="0" fontId="0" fillId="0" borderId="0" xfId="0" applyBorder="1" applyAlignment="1">
      <alignment vertical="top"/>
    </xf>
    <xf numFmtId="0" fontId="46" fillId="0" borderId="0" xfId="0" applyFont="1" applyFill="1" applyBorder="1" applyAlignment="1">
      <alignment wrapText="1"/>
    </xf>
    <xf numFmtId="0" fontId="0" fillId="0" borderId="0" xfId="0" applyFill="1" applyAlignment="1"/>
    <xf numFmtId="0" fontId="0" fillId="0" borderId="21" xfId="0" applyBorder="1" applyAlignment="1">
      <alignment wrapText="1"/>
    </xf>
    <xf numFmtId="0" fontId="5" fillId="0" borderId="0" xfId="0" applyFont="1" applyFill="1" applyAlignment="1">
      <alignment horizontal="left" vertical="top" wrapText="1"/>
    </xf>
    <xf numFmtId="0" fontId="0" fillId="0" borderId="0" xfId="0" applyFont="1" applyFill="1" applyBorder="1" applyAlignment="1"/>
    <xf numFmtId="9" fontId="0" fillId="0" borderId="22" xfId="0" applyNumberFormat="1" applyFill="1" applyBorder="1"/>
    <xf numFmtId="10" fontId="0" fillId="0" borderId="22" xfId="0" applyNumberFormat="1" applyFont="1" applyFill="1" applyBorder="1" applyAlignment="1">
      <alignment horizontal="right" wrapText="1"/>
    </xf>
    <xf numFmtId="10" fontId="3" fillId="0" borderId="22" xfId="0" applyNumberFormat="1" applyFont="1" applyFill="1" applyBorder="1"/>
    <xf numFmtId="10" fontId="60" fillId="0" borderId="22" xfId="152" applyNumberFormat="1" applyFont="1" applyFill="1" applyBorder="1"/>
    <xf numFmtId="10" fontId="58" fillId="0" borderId="22" xfId="0" applyNumberFormat="1" applyFont="1" applyFill="1" applyBorder="1"/>
    <xf numFmtId="10" fontId="0" fillId="0" borderId="22" xfId="152" applyNumberFormat="1" applyFont="1" applyFill="1" applyBorder="1"/>
    <xf numFmtId="176" fontId="0" fillId="0" borderId="22" xfId="152" applyNumberFormat="1" applyFont="1" applyFill="1" applyBorder="1"/>
    <xf numFmtId="0" fontId="57" fillId="67" borderId="18" xfId="0" applyFont="1" applyFill="1" applyBorder="1" applyAlignment="1">
      <alignment horizontal="center" wrapText="1"/>
    </xf>
    <xf numFmtId="10" fontId="57" fillId="67" borderId="19" xfId="0" applyNumberFormat="1" applyFont="1" applyFill="1" applyBorder="1" applyAlignment="1">
      <alignment horizontal="center" wrapText="1"/>
    </xf>
    <xf numFmtId="10" fontId="0" fillId="0" borderId="19" xfId="63" applyNumberFormat="1" applyFont="1" applyFill="1" applyBorder="1"/>
    <xf numFmtId="10" fontId="0" fillId="0" borderId="0" xfId="0" applyNumberFormat="1" applyFill="1"/>
    <xf numFmtId="3" fontId="57" fillId="67" borderId="18" xfId="0" applyNumberFormat="1" applyFont="1" applyFill="1" applyBorder="1" applyAlignment="1">
      <alignment horizontal="center" wrapText="1"/>
    </xf>
    <xf numFmtId="0" fontId="57" fillId="67" borderId="19" xfId="0" applyFont="1" applyFill="1" applyBorder="1" applyAlignment="1">
      <alignment horizontal="center" wrapText="1"/>
    </xf>
    <xf numFmtId="3" fontId="57" fillId="67" borderId="20" xfId="0" applyNumberFormat="1" applyFont="1" applyFill="1" applyBorder="1" applyAlignment="1">
      <alignment horizontal="center" wrapText="1"/>
    </xf>
    <xf numFmtId="0" fontId="5" fillId="0" borderId="0" xfId="0" applyFont="1" applyFill="1"/>
    <xf numFmtId="0" fontId="0" fillId="0" borderId="0" xfId="0" applyFont="1" applyFill="1" applyBorder="1" applyAlignment="1">
      <alignment horizontal="right" wrapText="1"/>
    </xf>
    <xf numFmtId="0" fontId="0" fillId="68" borderId="0" xfId="0" applyFill="1" applyAlignment="1">
      <alignment wrapText="1"/>
    </xf>
    <xf numFmtId="0" fontId="0" fillId="68" borderId="21" xfId="0" applyFill="1" applyBorder="1"/>
    <xf numFmtId="10" fontId="0" fillId="68" borderId="22" xfId="0" applyNumberFormat="1" applyFill="1" applyBorder="1"/>
    <xf numFmtId="3" fontId="0" fillId="68" borderId="21" xfId="0" applyNumberFormat="1" applyFont="1" applyFill="1" applyBorder="1"/>
    <xf numFmtId="10" fontId="58" fillId="68" borderId="22" xfId="0" applyNumberFormat="1" applyFont="1" applyFill="1" applyBorder="1" applyAlignment="1">
      <alignment horizontal="right" wrapText="1"/>
    </xf>
    <xf numFmtId="3" fontId="59" fillId="68" borderId="21" xfId="0" applyNumberFormat="1" applyFont="1" applyFill="1" applyBorder="1" applyAlignment="1">
      <alignment vertical="top" wrapText="1"/>
    </xf>
    <xf numFmtId="10" fontId="58" fillId="68" borderId="22" xfId="152" applyNumberFormat="1" applyFont="1" applyFill="1" applyBorder="1"/>
    <xf numFmtId="167" fontId="58" fillId="68" borderId="21" xfId="0" applyNumberFormat="1" applyFont="1" applyFill="1" applyBorder="1"/>
    <xf numFmtId="0" fontId="58" fillId="68" borderId="22" xfId="0" applyFont="1" applyFill="1" applyBorder="1"/>
    <xf numFmtId="3" fontId="0" fillId="68" borderId="0" xfId="0" applyNumberFormat="1" applyFill="1"/>
    <xf numFmtId="3" fontId="59" fillId="68" borderId="21" xfId="0" applyNumberFormat="1" applyFont="1" applyFill="1" applyBorder="1" applyAlignment="1">
      <alignment vertical="center" wrapText="1"/>
    </xf>
    <xf numFmtId="10" fontId="58" fillId="68" borderId="22" xfId="0" applyNumberFormat="1" applyFont="1" applyFill="1" applyBorder="1" applyAlignment="1">
      <alignment horizontal="right"/>
    </xf>
    <xf numFmtId="0" fontId="58" fillId="68" borderId="21" xfId="0" applyFont="1" applyFill="1" applyBorder="1"/>
    <xf numFmtId="10" fontId="0" fillId="68" borderId="22" xfId="152" applyNumberFormat="1" applyFont="1" applyFill="1" applyBorder="1"/>
    <xf numFmtId="167" fontId="57" fillId="68" borderId="21" xfId="0" applyNumberFormat="1" applyFont="1" applyFill="1" applyBorder="1"/>
    <xf numFmtId="10" fontId="60" fillId="68" borderId="22" xfId="152" applyNumberFormat="1" applyFont="1" applyFill="1" applyBorder="1"/>
    <xf numFmtId="3" fontId="0" fillId="68" borderId="0" xfId="0" applyNumberFormat="1" applyFont="1" applyFill="1" applyBorder="1" applyAlignment="1">
      <alignment wrapText="1"/>
    </xf>
    <xf numFmtId="0" fontId="57" fillId="68" borderId="21" xfId="0" applyFont="1" applyFill="1" applyBorder="1"/>
    <xf numFmtId="0" fontId="57" fillId="68" borderId="22" xfId="0" applyFont="1" applyFill="1" applyBorder="1"/>
    <xf numFmtId="0" fontId="0" fillId="68" borderId="22" xfId="0" applyFill="1" applyBorder="1"/>
    <xf numFmtId="9" fontId="0" fillId="68" borderId="22" xfId="152" applyFont="1" applyFill="1" applyBorder="1"/>
    <xf numFmtId="0" fontId="5" fillId="68" borderId="0" xfId="0" applyFont="1" applyFill="1" applyAlignment="1">
      <alignment wrapText="1"/>
    </xf>
    <xf numFmtId="0" fontId="5" fillId="68" borderId="21" xfId="0" applyFont="1" applyFill="1" applyBorder="1"/>
    <xf numFmtId="10" fontId="5" fillId="68" borderId="22" xfId="0" applyNumberFormat="1" applyFont="1" applyFill="1" applyBorder="1"/>
    <xf numFmtId="3" fontId="5" fillId="68" borderId="21" xfId="0" applyNumberFormat="1" applyFont="1" applyFill="1" applyBorder="1"/>
    <xf numFmtId="3" fontId="3" fillId="68" borderId="21" xfId="0" applyNumberFormat="1" applyFont="1" applyFill="1" applyBorder="1" applyAlignment="1">
      <alignment vertical="top" wrapText="1"/>
    </xf>
    <xf numFmtId="3" fontId="67" fillId="68" borderId="21" xfId="0" applyNumberFormat="1" applyFont="1" applyFill="1" applyBorder="1" applyAlignment="1">
      <alignment vertical="top" wrapText="1"/>
    </xf>
    <xf numFmtId="176" fontId="58" fillId="68" borderId="22" xfId="152" applyNumberFormat="1" applyFont="1" applyFill="1" applyBorder="1"/>
    <xf numFmtId="3" fontId="5" fillId="68" borderId="0" xfId="0" applyNumberFormat="1" applyFont="1" applyFill="1"/>
    <xf numFmtId="3" fontId="3" fillId="68" borderId="21" xfId="0" applyNumberFormat="1" applyFont="1" applyFill="1" applyBorder="1" applyAlignment="1">
      <alignment vertical="center" wrapText="1"/>
    </xf>
    <xf numFmtId="10" fontId="5" fillId="68" borderId="22" xfId="152" applyNumberFormat="1" applyFont="1" applyFill="1" applyBorder="1"/>
    <xf numFmtId="0" fontId="5" fillId="68" borderId="22" xfId="0" applyFont="1" applyFill="1" applyBorder="1"/>
    <xf numFmtId="176" fontId="0" fillId="68" borderId="22" xfId="152" applyNumberFormat="1" applyFont="1" applyFill="1" applyBorder="1"/>
    <xf numFmtId="9" fontId="60" fillId="68" borderId="22" xfId="152" applyFont="1" applyFill="1" applyBorder="1"/>
    <xf numFmtId="0" fontId="0" fillId="68" borderId="0" xfId="0" applyFill="1" applyBorder="1" applyAlignment="1">
      <alignment wrapText="1"/>
    </xf>
    <xf numFmtId="0" fontId="5" fillId="0" borderId="0" xfId="4" applyFont="1" applyBorder="1" applyAlignment="1" applyProtection="1">
      <alignment horizontal="left" vertical="top" wrapText="1"/>
    </xf>
    <xf numFmtId="1" fontId="5" fillId="0" borderId="0" xfId="1" applyNumberFormat="1" applyFont="1" applyFill="1" applyAlignment="1">
      <alignment horizontal="center" wrapText="1"/>
    </xf>
    <xf numFmtId="174" fontId="0" fillId="0" borderId="0" xfId="2" applyNumberFormat="1" applyFont="1"/>
    <xf numFmtId="174" fontId="0" fillId="0" borderId="0" xfId="0" applyNumberFormat="1"/>
    <xf numFmtId="0" fontId="0" fillId="0" borderId="0" xfId="0" applyAlignment="1">
      <alignment horizontal="right"/>
    </xf>
    <xf numFmtId="14" fontId="5" fillId="0" borderId="0" xfId="3" applyNumberFormat="1" applyFont="1" applyFill="1" applyAlignment="1">
      <alignment horizontal="right" wrapText="1"/>
    </xf>
    <xf numFmtId="0" fontId="46" fillId="0" borderId="0" xfId="0" applyFont="1" applyFill="1" applyAlignment="1">
      <alignment wrapText="1"/>
    </xf>
    <xf numFmtId="0" fontId="46" fillId="0" borderId="0" xfId="0" applyFont="1" applyFill="1"/>
    <xf numFmtId="0" fontId="46" fillId="0" borderId="0" xfId="0" applyFont="1"/>
    <xf numFmtId="0" fontId="0" fillId="0" borderId="0" xfId="0" applyFont="1" applyAlignment="1"/>
    <xf numFmtId="0" fontId="0" fillId="0" borderId="0" xfId="0" applyFont="1" applyFill="1"/>
    <xf numFmtId="0" fontId="0" fillId="0" borderId="0" xfId="0" applyFont="1" applyFill="1" applyAlignment="1">
      <alignment horizontal="right" wrapText="1"/>
    </xf>
    <xf numFmtId="0" fontId="5" fillId="0" borderId="0" xfId="0" applyFont="1" applyFill="1" applyBorder="1" applyAlignment="1">
      <alignment horizontal="right" wrapText="1"/>
    </xf>
    <xf numFmtId="0" fontId="5" fillId="0" borderId="0" xfId="0" applyFont="1" applyFill="1" applyBorder="1" applyAlignment="1">
      <alignment wrapText="1"/>
    </xf>
    <xf numFmtId="0" fontId="0" fillId="0" borderId="0" xfId="0" applyFont="1" applyAlignment="1">
      <alignment horizontal="right"/>
    </xf>
    <xf numFmtId="1" fontId="5" fillId="0" borderId="0" xfId="4" applyNumberFormat="1" applyFont="1" applyFill="1" applyAlignment="1" applyProtection="1">
      <alignment horizontal="left" wrapText="1"/>
    </xf>
    <xf numFmtId="0" fontId="5" fillId="0" borderId="0" xfId="0" applyFont="1" applyFill="1" applyAlignment="1">
      <alignment horizontal="left" wrapText="1"/>
    </xf>
    <xf numFmtId="0" fontId="5" fillId="0" borderId="0" xfId="0" applyFont="1" applyAlignment="1"/>
    <xf numFmtId="2" fontId="0" fillId="0" borderId="0" xfId="0" applyNumberFormat="1" applyFont="1" applyBorder="1" applyAlignment="1">
      <alignment horizontal="right" wrapText="1"/>
    </xf>
    <xf numFmtId="1" fontId="5" fillId="0" borderId="0" xfId="1" applyNumberFormat="1" applyFont="1" applyAlignment="1">
      <alignment horizontal="right" wrapText="1"/>
    </xf>
    <xf numFmtId="164" fontId="66" fillId="0" borderId="0" xfId="22" applyNumberFormat="1" applyFont="1" applyFill="1" applyBorder="1" applyAlignment="1">
      <alignment horizontal="right" wrapText="1"/>
    </xf>
    <xf numFmtId="14" fontId="0" fillId="0" borderId="0" xfId="0" applyNumberFormat="1" applyFont="1" applyFill="1" applyBorder="1" applyAlignment="1">
      <alignment horizontal="right" wrapText="1"/>
    </xf>
    <xf numFmtId="14" fontId="0" fillId="0" borderId="0" xfId="0" applyNumberFormat="1" applyAlignment="1">
      <alignment horizontal="right"/>
    </xf>
    <xf numFmtId="0" fontId="4" fillId="0" borderId="0" xfId="4" applyFill="1" applyAlignment="1" applyProtection="1">
      <alignment wrapText="1"/>
    </xf>
    <xf numFmtId="0" fontId="47" fillId="0" borderId="0" xfId="0" applyFont="1" applyFill="1" applyBorder="1" applyAlignment="1">
      <alignment horizontal="center" vertical="center" wrapText="1"/>
    </xf>
    <xf numFmtId="164" fontId="47" fillId="0" borderId="0" xfId="1"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47"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5" fillId="0" borderId="0" xfId="0" applyFont="1" applyFill="1" applyBorder="1" applyAlignment="1">
      <alignment horizontal="center" vertical="center" wrapText="1"/>
    </xf>
    <xf numFmtId="164" fontId="0" fillId="0" borderId="0" xfId="22" applyNumberFormat="1" applyFont="1" applyFill="1" applyBorder="1" applyAlignment="1">
      <alignment horizontal="center" vertical="center" wrapText="1"/>
    </xf>
    <xf numFmtId="1" fontId="5" fillId="0" borderId="0" xfId="1" applyNumberFormat="1" applyFont="1" applyFill="1" applyAlignment="1">
      <alignment horizontal="center" vertical="center" wrapText="1"/>
    </xf>
    <xf numFmtId="0" fontId="0" fillId="0" borderId="0" xfId="3" applyFont="1" applyFill="1" applyBorder="1" applyAlignment="1">
      <alignment horizontal="center" vertical="center" wrapText="1"/>
    </xf>
    <xf numFmtId="0" fontId="5" fillId="0" borderId="0" xfId="3" applyFont="1" applyFill="1" applyBorder="1" applyAlignment="1">
      <alignment horizontal="center" vertical="center" wrapText="1"/>
    </xf>
    <xf numFmtId="172" fontId="5" fillId="0" borderId="0" xfId="2"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0" fontId="55" fillId="0" borderId="0" xfId="4" applyFont="1" applyFill="1" applyBorder="1" applyAlignment="1" applyProtection="1">
      <alignment horizontal="center" vertical="center" wrapText="1"/>
    </xf>
    <xf numFmtId="0" fontId="0" fillId="0" borderId="0" xfId="5" applyFont="1" applyFill="1" applyBorder="1" applyAlignment="1" applyProtection="1">
      <alignment horizontal="center" vertical="center" wrapText="1"/>
    </xf>
    <xf numFmtId="1" fontId="5" fillId="0" borderId="0" xfId="1" applyNumberFormat="1" applyFont="1" applyFill="1" applyBorder="1" applyAlignment="1">
      <alignment horizontal="center" vertical="center" wrapText="1"/>
    </xf>
    <xf numFmtId="2" fontId="5" fillId="0" borderId="0" xfId="1" applyNumberFormat="1" applyFont="1" applyFill="1" applyBorder="1" applyAlignment="1">
      <alignment horizontal="center" vertical="center" wrapText="1"/>
    </xf>
    <xf numFmtId="0" fontId="5" fillId="0" borderId="0" xfId="4" applyFont="1" applyFill="1" applyBorder="1" applyAlignment="1" applyProtection="1">
      <alignment horizontal="center" vertical="center" wrapText="1"/>
    </xf>
    <xf numFmtId="0" fontId="0" fillId="0" borderId="0" xfId="0" applyFont="1" applyAlignment="1">
      <alignment horizontal="center" vertical="center" wrapText="1"/>
    </xf>
    <xf numFmtId="0" fontId="5" fillId="0" borderId="0" xfId="5" applyFont="1" applyFill="1" applyBorder="1" applyAlignment="1" applyProtection="1">
      <alignment horizontal="center" vertical="center" wrapText="1"/>
    </xf>
    <xf numFmtId="0" fontId="5" fillId="0" borderId="0" xfId="0" applyFont="1" applyFill="1" applyAlignment="1">
      <alignment horizontal="center" vertical="center" wrapText="1"/>
    </xf>
    <xf numFmtId="0" fontId="5" fillId="0" borderId="0" xfId="3" applyFont="1" applyFill="1" applyAlignment="1">
      <alignment horizontal="center" vertical="center" wrapText="1"/>
    </xf>
    <xf numFmtId="0" fontId="0" fillId="0" borderId="0" xfId="0" applyFont="1" applyFill="1" applyAlignment="1">
      <alignment horizontal="center" vertical="center" wrapText="1"/>
    </xf>
    <xf numFmtId="0" fontId="55" fillId="0" borderId="0" xfId="4" applyFont="1" applyFill="1" applyAlignment="1" applyProtection="1">
      <alignment horizontal="center" vertical="center" wrapText="1"/>
    </xf>
    <xf numFmtId="0" fontId="5" fillId="0" borderId="0" xfId="4" applyFont="1" applyFill="1" applyAlignment="1" applyProtection="1">
      <alignment horizontal="center" vertical="center" wrapText="1"/>
    </xf>
    <xf numFmtId="0" fontId="5" fillId="0" borderId="0" xfId="3" applyNumberFormat="1" applyFont="1" applyFill="1" applyBorder="1" applyAlignment="1">
      <alignment horizontal="center" vertical="center" wrapText="1"/>
    </xf>
    <xf numFmtId="0" fontId="65" fillId="0" borderId="0" xfId="0" applyFont="1" applyFill="1" applyAlignment="1">
      <alignment horizontal="center" vertical="center" wrapText="1"/>
    </xf>
    <xf numFmtId="4" fontId="66" fillId="0" borderId="0" xfId="5" applyNumberFormat="1" applyFont="1" applyFill="1" applyBorder="1" applyAlignment="1" applyProtection="1">
      <alignment horizontal="center" vertical="center" wrapText="1"/>
    </xf>
    <xf numFmtId="0" fontId="5" fillId="0" borderId="0" xfId="3" applyFont="1" applyAlignment="1">
      <alignment horizontal="center" vertical="center" wrapText="1"/>
    </xf>
    <xf numFmtId="1" fontId="5" fillId="0" borderId="0" xfId="1" applyNumberFormat="1" applyFont="1" applyAlignment="1">
      <alignment horizontal="center" vertical="center" wrapText="1"/>
    </xf>
    <xf numFmtId="0" fontId="5" fillId="0" borderId="0" xfId="4" applyFont="1" applyAlignment="1" applyProtection="1">
      <alignment horizontal="center" vertical="center" wrapText="1"/>
    </xf>
    <xf numFmtId="166" fontId="5" fillId="0" borderId="0" xfId="7" applyFont="1" applyFill="1" applyBorder="1" applyAlignment="1" applyProtection="1">
      <alignment horizontal="center" vertical="center" wrapText="1"/>
    </xf>
    <xf numFmtId="1" fontId="5" fillId="0" borderId="0" xfId="1" applyNumberFormat="1" applyFont="1" applyFill="1" applyBorder="1" applyAlignment="1" applyProtection="1">
      <alignment horizontal="center" vertical="center" wrapText="1"/>
    </xf>
    <xf numFmtId="174" fontId="5" fillId="0" borderId="0" xfId="2" applyNumberFormat="1" applyFont="1" applyFill="1" applyBorder="1" applyAlignment="1">
      <alignment horizontal="center" vertical="center" wrapText="1"/>
    </xf>
    <xf numFmtId="0" fontId="65" fillId="0" borderId="0" xfId="0" applyFont="1" applyAlignment="1">
      <alignment horizontal="center" vertical="center" wrapText="1"/>
    </xf>
    <xf numFmtId="0" fontId="66" fillId="0" borderId="0" xfId="3" applyFont="1" applyFill="1" applyBorder="1" applyAlignment="1">
      <alignment horizontal="center" vertical="center" wrapText="1"/>
    </xf>
    <xf numFmtId="0" fontId="71" fillId="0" borderId="0" xfId="0" applyFont="1" applyFill="1" applyAlignment="1">
      <alignment horizontal="center" vertical="center" wrapText="1"/>
    </xf>
    <xf numFmtId="0" fontId="5" fillId="0" borderId="0" xfId="9" applyFont="1" applyFill="1" applyBorder="1" applyAlignment="1">
      <alignment horizontal="center" vertical="center" wrapText="1"/>
    </xf>
    <xf numFmtId="166" fontId="5" fillId="0" borderId="0" xfId="4" applyNumberFormat="1" applyFont="1" applyFill="1" applyBorder="1" applyAlignment="1" applyProtection="1">
      <alignment horizontal="center" vertical="center" wrapText="1"/>
    </xf>
    <xf numFmtId="0" fontId="5" fillId="0" borderId="0" xfId="4" applyFont="1" applyBorder="1" applyAlignment="1" applyProtection="1">
      <alignment horizontal="center" vertical="center" wrapText="1"/>
    </xf>
    <xf numFmtId="1" fontId="5" fillId="0" borderId="0" xfId="4" applyNumberFormat="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173" fontId="5" fillId="0" borderId="0" xfId="0" applyNumberFormat="1" applyFont="1" applyFill="1" applyBorder="1" applyAlignment="1">
      <alignment horizontal="center" vertical="center" wrapText="1"/>
    </xf>
    <xf numFmtId="15" fontId="5" fillId="0" borderId="0" xfId="0" applyNumberFormat="1" applyFont="1" applyFill="1" applyBorder="1" applyAlignment="1">
      <alignment horizontal="center" vertical="center" wrapText="1"/>
    </xf>
    <xf numFmtId="6" fontId="5" fillId="0" borderId="0" xfId="3" applyNumberFormat="1" applyFont="1" applyFill="1" applyBorder="1" applyAlignment="1">
      <alignment horizontal="center" vertical="center" wrapText="1"/>
    </xf>
    <xf numFmtId="166" fontId="5" fillId="0" borderId="0" xfId="0" applyNumberFormat="1" applyFont="1" applyFill="1" applyBorder="1" applyAlignment="1">
      <alignment horizontal="center" vertical="center" wrapText="1"/>
    </xf>
    <xf numFmtId="1" fontId="5" fillId="0" borderId="0" xfId="3" applyNumberFormat="1" applyFont="1" applyFill="1" applyBorder="1" applyAlignment="1">
      <alignment horizontal="center" vertical="center" wrapText="1"/>
    </xf>
    <xf numFmtId="173" fontId="5" fillId="0" borderId="0" xfId="4" applyNumberFormat="1" applyFont="1" applyFill="1" applyBorder="1" applyAlignment="1" applyProtection="1">
      <alignment horizontal="center" vertical="center" wrapText="1"/>
    </xf>
    <xf numFmtId="0" fontId="5" fillId="0" borderId="0" xfId="1"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5" fillId="0" borderId="13" xfId="3" applyFont="1" applyFill="1" applyBorder="1" applyAlignment="1">
      <alignment horizontal="center" vertical="center" wrapText="1"/>
    </xf>
    <xf numFmtId="1" fontId="5" fillId="0" borderId="13" xfId="1" applyNumberFormat="1" applyFont="1" applyFill="1" applyBorder="1" applyAlignment="1">
      <alignment horizontal="center" vertical="center" wrapText="1"/>
    </xf>
    <xf numFmtId="0" fontId="5" fillId="0" borderId="11" xfId="4" applyFont="1" applyFill="1" applyBorder="1" applyAlignment="1" applyProtection="1">
      <alignment horizontal="center" vertical="center" wrapText="1"/>
    </xf>
    <xf numFmtId="0" fontId="5" fillId="0" borderId="27" xfId="0" applyFont="1" applyFill="1" applyBorder="1" applyAlignment="1">
      <alignment horizontal="center" vertical="center" wrapText="1"/>
    </xf>
    <xf numFmtId="0" fontId="0" fillId="0" borderId="0" xfId="0" applyFont="1" applyBorder="1" applyAlignment="1">
      <alignment horizontal="center" vertical="center" wrapText="1"/>
    </xf>
    <xf numFmtId="0" fontId="5" fillId="0" borderId="12"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1" xfId="3" applyFont="1" applyFill="1" applyBorder="1" applyAlignment="1">
      <alignment horizontal="center" vertical="center" wrapText="1"/>
    </xf>
    <xf numFmtId="0" fontId="5" fillId="0" borderId="28" xfId="0" applyFont="1" applyFill="1" applyBorder="1" applyAlignment="1">
      <alignment horizontal="center" vertical="center" wrapText="1"/>
    </xf>
    <xf numFmtId="166" fontId="5" fillId="0" borderId="0" xfId="9" applyNumberFormat="1" applyFont="1" applyFill="1" applyBorder="1" applyAlignment="1">
      <alignment horizontal="center" vertical="center" wrapText="1"/>
    </xf>
    <xf numFmtId="0" fontId="74" fillId="0" borderId="0" xfId="0" applyFont="1" applyFill="1" applyAlignment="1">
      <alignment horizontal="center" vertical="center" wrapText="1"/>
    </xf>
    <xf numFmtId="0" fontId="74" fillId="0" borderId="0" xfId="3" applyFont="1" applyFill="1" applyAlignment="1">
      <alignment horizontal="center" vertical="center" wrapText="1"/>
    </xf>
    <xf numFmtId="1" fontId="74" fillId="0" borderId="0" xfId="1" applyNumberFormat="1" applyFont="1" applyFill="1" applyAlignment="1">
      <alignment horizontal="center" vertical="center" wrapText="1"/>
    </xf>
    <xf numFmtId="0" fontId="74" fillId="0" borderId="0" xfId="4" applyFont="1" applyFill="1" applyAlignment="1" applyProtection="1">
      <alignment horizontal="center" vertical="center" wrapText="1"/>
    </xf>
    <xf numFmtId="0" fontId="74" fillId="0" borderId="0" xfId="0" applyFont="1" applyFill="1" applyBorder="1" applyAlignment="1">
      <alignment horizontal="center" vertical="center" wrapText="1"/>
    </xf>
    <xf numFmtId="1" fontId="74" fillId="0" borderId="0" xfId="1" applyNumberFormat="1" applyFont="1" applyFill="1" applyBorder="1" applyAlignment="1">
      <alignment horizontal="center" vertical="center" wrapText="1"/>
    </xf>
    <xf numFmtId="0" fontId="75" fillId="69" borderId="0" xfId="0" applyFont="1" applyFill="1" applyAlignment="1"/>
    <xf numFmtId="0" fontId="4" fillId="0" borderId="0" xfId="4" applyAlignment="1" applyProtection="1"/>
    <xf numFmtId="0" fontId="79" fillId="0" borderId="0" xfId="0" applyFont="1"/>
    <xf numFmtId="0" fontId="79" fillId="0" borderId="0" xfId="0" applyFont="1" applyAlignment="1"/>
    <xf numFmtId="0" fontId="79" fillId="0" borderId="0" xfId="0" applyFont="1" applyFill="1" applyAlignment="1">
      <alignment horizontal="center" vertical="center" wrapText="1"/>
    </xf>
    <xf numFmtId="1" fontId="5" fillId="0" borderId="0" xfId="1" applyNumberFormat="1" applyFont="1" applyBorder="1" applyAlignment="1">
      <alignment horizontal="center" vertical="center" wrapText="1"/>
    </xf>
    <xf numFmtId="0" fontId="79" fillId="0" borderId="0" xfId="0" applyFont="1" applyFill="1" applyBorder="1" applyAlignment="1">
      <alignment wrapText="1"/>
    </xf>
    <xf numFmtId="0" fontId="82" fillId="0" borderId="0" xfId="0" applyFont="1" applyFill="1" applyBorder="1" applyAlignment="1">
      <alignment wrapText="1"/>
    </xf>
    <xf numFmtId="0" fontId="5" fillId="0" borderId="0" xfId="3" applyFont="1" applyBorder="1" applyAlignment="1">
      <alignment horizontal="center" vertical="center" wrapText="1"/>
    </xf>
    <xf numFmtId="175" fontId="47" fillId="0" borderId="0" xfId="0" applyNumberFormat="1" applyFont="1" applyFill="1" applyBorder="1" applyAlignment="1">
      <alignment horizontal="center" vertical="center" wrapText="1"/>
    </xf>
    <xf numFmtId="175" fontId="5" fillId="0" borderId="0" xfId="3" applyNumberFormat="1" applyFont="1" applyFill="1" applyBorder="1" applyAlignment="1">
      <alignment horizontal="center" vertical="center" wrapText="1"/>
    </xf>
    <xf numFmtId="175" fontId="5" fillId="0" borderId="0" xfId="0" applyNumberFormat="1" applyFont="1" applyFill="1" applyBorder="1" applyAlignment="1">
      <alignment horizontal="center" vertical="center" wrapText="1"/>
    </xf>
    <xf numFmtId="175" fontId="5" fillId="0" borderId="0" xfId="3" applyNumberFormat="1" applyFont="1" applyFill="1" applyAlignment="1">
      <alignment horizontal="center" vertical="center" wrapText="1"/>
    </xf>
    <xf numFmtId="175" fontId="74" fillId="0" borderId="0" xfId="3" applyNumberFormat="1" applyFont="1" applyFill="1" applyAlignment="1">
      <alignment horizontal="center" vertical="center" wrapText="1"/>
    </xf>
    <xf numFmtId="175" fontId="0" fillId="0" borderId="0" xfId="3" applyNumberFormat="1" applyFont="1" applyFill="1" applyBorder="1" applyAlignment="1">
      <alignment horizontal="center" vertical="center" wrapText="1"/>
    </xf>
    <xf numFmtId="175" fontId="5" fillId="0" borderId="0" xfId="3" applyNumberFormat="1" applyFont="1" applyAlignment="1">
      <alignment horizontal="center" vertical="center" wrapText="1"/>
    </xf>
    <xf numFmtId="175" fontId="0" fillId="0" borderId="0" xfId="0" applyNumberFormat="1" applyFont="1" applyFill="1" applyBorder="1" applyAlignment="1">
      <alignment horizontal="center" vertical="center" wrapText="1"/>
    </xf>
    <xf numFmtId="175" fontId="5" fillId="0" borderId="0" xfId="7" applyNumberFormat="1" applyFont="1" applyFill="1" applyBorder="1" applyAlignment="1" applyProtection="1">
      <alignment horizontal="center" vertical="center" wrapText="1"/>
    </xf>
    <xf numFmtId="175" fontId="5" fillId="0" borderId="0" xfId="6" applyNumberFormat="1" applyFont="1" applyFill="1" applyBorder="1" applyAlignment="1">
      <alignment horizontal="center" vertical="center" wrapText="1"/>
    </xf>
    <xf numFmtId="175" fontId="0" fillId="0" borderId="0" xfId="0" applyNumberFormat="1"/>
    <xf numFmtId="175" fontId="0" fillId="0" borderId="0" xfId="0" applyNumberFormat="1" applyFont="1" applyBorder="1" applyAlignment="1">
      <alignment wrapText="1"/>
    </xf>
    <xf numFmtId="164" fontId="0" fillId="0" borderId="0" xfId="1" applyNumberFormat="1" applyFont="1"/>
    <xf numFmtId="164" fontId="0" fillId="0" borderId="0" xfId="0" applyNumberFormat="1"/>
    <xf numFmtId="164" fontId="0" fillId="0" borderId="0" xfId="0" applyNumberFormat="1" applyAlignment="1">
      <alignment horizontal="left"/>
    </xf>
    <xf numFmtId="0" fontId="0" fillId="0" borderId="0" xfId="0"/>
    <xf numFmtId="0" fontId="0" fillId="0" borderId="0" xfId="0" applyAlignment="1">
      <alignment wrapText="1"/>
    </xf>
    <xf numFmtId="164" fontId="5" fillId="0" borderId="0" xfId="1" applyNumberFormat="1" applyFont="1" applyFill="1" applyBorder="1" applyAlignment="1">
      <alignment horizontal="right" wrapText="1"/>
    </xf>
    <xf numFmtId="164" fontId="0" fillId="0" borderId="0" xfId="1" applyNumberFormat="1" applyFont="1" applyAlignment="1">
      <alignment horizontal="right"/>
    </xf>
    <xf numFmtId="0" fontId="5" fillId="0" borderId="0" xfId="0" applyFont="1" applyAlignment="1">
      <alignment horizontal="center" vertical="center" wrapText="1"/>
    </xf>
    <xf numFmtId="0" fontId="30" fillId="0" borderId="0" xfId="0" applyFont="1" applyAlignment="1">
      <alignment horizontal="center" vertical="center" wrapText="1"/>
    </xf>
    <xf numFmtId="0" fontId="80" fillId="0" borderId="0" xfId="0" applyFont="1" applyAlignment="1">
      <alignment horizontal="center" vertical="center" wrapText="1"/>
    </xf>
    <xf numFmtId="0" fontId="0" fillId="0" borderId="0" xfId="0" applyFill="1" applyAlignment="1">
      <alignment horizontal="left" vertical="center" wrapText="1"/>
    </xf>
    <xf numFmtId="0" fontId="55" fillId="0" borderId="0" xfId="4" applyFont="1" applyFill="1" applyBorder="1" applyAlignment="1" applyProtection="1">
      <alignment horizontal="left" vertical="center" wrapText="1"/>
    </xf>
    <xf numFmtId="166" fontId="55" fillId="0" borderId="0" xfId="4" applyNumberFormat="1" applyFont="1" applyFill="1" applyBorder="1" applyAlignment="1" applyProtection="1">
      <alignment horizontal="left" vertical="center" wrapText="1"/>
    </xf>
    <xf numFmtId="0" fontId="4" fillId="0" borderId="0" xfId="4" applyFill="1" applyBorder="1" applyAlignment="1" applyProtection="1">
      <alignment horizontal="left" vertical="center" wrapText="1"/>
    </xf>
    <xf numFmtId="0" fontId="55" fillId="0" borderId="0" xfId="4" applyFont="1" applyFill="1" applyBorder="1" applyAlignment="1" applyProtection="1">
      <alignment horizontal="left" vertical="center" wrapText="1"/>
      <protection locked="0"/>
    </xf>
    <xf numFmtId="0" fontId="55" fillId="0" borderId="29" xfId="4" applyFont="1" applyFill="1" applyBorder="1" applyAlignment="1" applyProtection="1">
      <alignment horizontal="left" vertical="center" wrapText="1"/>
    </xf>
    <xf numFmtId="0" fontId="55" fillId="0" borderId="0" xfId="4" applyFont="1" applyFill="1" applyAlignment="1" applyProtection="1">
      <alignment horizontal="left" vertical="center" wrapText="1"/>
    </xf>
    <xf numFmtId="0" fontId="73" fillId="0" borderId="0" xfId="4" applyFont="1" applyFill="1" applyAlignment="1" applyProtection="1">
      <alignment horizontal="left" vertical="center" wrapText="1"/>
    </xf>
    <xf numFmtId="0" fontId="0" fillId="0" borderId="0" xfId="0" applyFont="1" applyFill="1" applyBorder="1" applyAlignment="1">
      <alignment horizontal="left" vertical="center" wrapText="1"/>
    </xf>
    <xf numFmtId="165" fontId="55" fillId="0" borderId="0" xfId="4" applyNumberFormat="1" applyFont="1" applyFill="1" applyBorder="1" applyAlignment="1" applyProtection="1">
      <alignment horizontal="left" vertical="center" wrapText="1"/>
    </xf>
    <xf numFmtId="0" fontId="0" fillId="0" borderId="0" xfId="0" applyFont="1" applyAlignment="1">
      <alignment horizontal="left" vertical="center" wrapText="1"/>
    </xf>
    <xf numFmtId="0" fontId="55" fillId="0" borderId="13" xfId="4" applyFont="1" applyFill="1" applyBorder="1" applyAlignment="1" applyProtection="1">
      <alignment horizontal="left" vertical="center" wrapText="1"/>
    </xf>
    <xf numFmtId="6" fontId="55" fillId="0" borderId="0" xfId="4" applyNumberFormat="1" applyFont="1" applyFill="1" applyBorder="1" applyAlignment="1" applyProtection="1">
      <alignment horizontal="left" vertical="center" wrapText="1"/>
    </xf>
    <xf numFmtId="0" fontId="55" fillId="0" borderId="0" xfId="4" applyFont="1" applyAlignment="1" applyProtection="1">
      <alignment horizontal="left" vertical="center" wrapText="1"/>
    </xf>
    <xf numFmtId="0" fontId="81" fillId="0" borderId="0" xfId="4" applyFont="1" applyAlignment="1" applyProtection="1">
      <alignment horizontal="left" vertical="center" wrapText="1"/>
    </xf>
    <xf numFmtId="0" fontId="4" fillId="0" borderId="0" xfId="4" applyAlignment="1" applyProtection="1">
      <alignment horizontal="left" vertical="center" wrapText="1"/>
    </xf>
    <xf numFmtId="0" fontId="73" fillId="0" borderId="0" xfId="4" applyFont="1" applyFill="1" applyBorder="1" applyAlignment="1" applyProtection="1">
      <alignment horizontal="left" vertical="center" wrapText="1"/>
    </xf>
    <xf numFmtId="0" fontId="31" fillId="0" borderId="0" xfId="74" applyBorder="1" applyAlignment="1">
      <alignment horizontal="left" wrapText="1"/>
    </xf>
    <xf numFmtId="0" fontId="3" fillId="0" borderId="0" xfId="3" applyFill="1"/>
    <xf numFmtId="43" fontId="0" fillId="0" borderId="0" xfId="1" applyFont="1" applyFill="1" applyAlignment="1">
      <alignment wrapText="1"/>
    </xf>
    <xf numFmtId="0" fontId="4" fillId="0" borderId="0" xfId="4" applyFill="1" applyAlignment="1" applyProtection="1"/>
    <xf numFmtId="0" fontId="84" fillId="0" borderId="0" xfId="0" applyFont="1" applyFill="1" applyAlignment="1">
      <alignment wrapText="1"/>
    </xf>
    <xf numFmtId="0" fontId="0" fillId="71" borderId="0" xfId="0" applyFill="1"/>
    <xf numFmtId="0" fontId="30" fillId="0" borderId="0" xfId="0" applyFont="1" applyAlignment="1">
      <alignment horizontal="left" vertical="center" wrapText="1"/>
    </xf>
    <xf numFmtId="0" fontId="5" fillId="0" borderId="0" xfId="0" applyFont="1" applyAlignment="1">
      <alignment horizontal="left" vertical="center" wrapText="1"/>
    </xf>
    <xf numFmtId="0" fontId="68" fillId="0" borderId="0" xfId="4" applyFont="1" applyFill="1" applyAlignment="1" applyProtection="1">
      <alignment horizontal="left" vertical="center" wrapText="1"/>
    </xf>
    <xf numFmtId="0" fontId="0" fillId="0" borderId="28" xfId="0" applyFont="1" applyFill="1" applyBorder="1" applyAlignment="1">
      <alignment horizontal="center" vertical="center" wrapText="1"/>
    </xf>
    <xf numFmtId="0" fontId="74" fillId="0" borderId="0" xfId="3" applyFont="1" applyFill="1" applyBorder="1" applyAlignment="1">
      <alignment horizontal="center" vertical="center" wrapText="1"/>
    </xf>
    <xf numFmtId="0" fontId="0" fillId="0" borderId="11" xfId="3" applyFont="1" applyFill="1" applyBorder="1" applyAlignment="1">
      <alignment horizontal="center" vertical="center" wrapText="1"/>
    </xf>
    <xf numFmtId="173" fontId="5" fillId="0" borderId="13" xfId="0" applyNumberFormat="1" applyFont="1" applyFill="1" applyBorder="1" applyAlignment="1">
      <alignment horizontal="center" vertical="center" wrapText="1"/>
    </xf>
    <xf numFmtId="164" fontId="0" fillId="0" borderId="0" xfId="1" applyNumberFormat="1" applyFont="1" applyFill="1" applyBorder="1" applyAlignment="1">
      <alignment horizontal="center" vertical="center" wrapText="1"/>
    </xf>
    <xf numFmtId="0" fontId="55" fillId="0" borderId="0" xfId="4" applyFont="1" applyFill="1" applyBorder="1" applyAlignment="1" applyProtection="1">
      <alignment horizontal="left" vertical="center"/>
    </xf>
    <xf numFmtId="0" fontId="5" fillId="0" borderId="0" xfId="0" applyFont="1" applyFill="1" applyBorder="1" applyAlignment="1">
      <alignment horizontal="left" vertical="center"/>
    </xf>
    <xf numFmtId="0" fontId="0" fillId="0" borderId="0" xfId="0" applyFont="1" applyFill="1" applyBorder="1" applyAlignment="1">
      <alignment horizontal="left" vertical="center"/>
    </xf>
    <xf numFmtId="0" fontId="5" fillId="0" borderId="0" xfId="4" applyFont="1" applyFill="1" applyBorder="1" applyAlignment="1" applyProtection="1">
      <alignment horizontal="left" vertical="center" wrapText="1"/>
    </xf>
    <xf numFmtId="0" fontId="5" fillId="0" borderId="0" xfId="0" applyFont="1" applyFill="1" applyBorder="1" applyAlignment="1">
      <alignment horizontal="left" vertical="center" wrapText="1"/>
    </xf>
    <xf numFmtId="0" fontId="5" fillId="0" borderId="0" xfId="3"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ill="1" applyBorder="1"/>
    <xf numFmtId="0" fontId="0" fillId="0" borderId="0" xfId="0" applyFill="1" applyBorder="1" applyAlignment="1">
      <alignment wrapText="1"/>
    </xf>
    <xf numFmtId="0" fontId="85" fillId="0" borderId="0" xfId="0" applyFont="1" applyFill="1" applyBorder="1" applyAlignment="1">
      <alignment horizontal="center" vertical="center" wrapText="1"/>
    </xf>
    <xf numFmtId="0" fontId="85" fillId="0" borderId="0" xfId="3" applyFont="1" applyFill="1" applyAlignment="1">
      <alignment horizontal="center" vertical="center" wrapText="1"/>
    </xf>
    <xf numFmtId="0" fontId="86" fillId="0" borderId="0" xfId="0" applyFont="1" applyFill="1" applyAlignment="1">
      <alignment horizontal="center" vertical="center" wrapText="1"/>
    </xf>
    <xf numFmtId="175" fontId="85" fillId="0" borderId="0" xfId="3" applyNumberFormat="1" applyFont="1" applyFill="1" applyAlignment="1">
      <alignment horizontal="center" vertical="center" wrapText="1"/>
    </xf>
    <xf numFmtId="0" fontId="4" fillId="0" borderId="0" xfId="4" applyFont="1" applyFill="1" applyBorder="1" applyAlignment="1" applyProtection="1">
      <alignment horizontal="left" vertical="center" wrapText="1"/>
    </xf>
    <xf numFmtId="0" fontId="5" fillId="0" borderId="27" xfId="4" applyFont="1" applyFill="1" applyBorder="1" applyAlignment="1" applyProtection="1">
      <alignment horizontal="center" vertical="center" wrapText="1"/>
    </xf>
    <xf numFmtId="0" fontId="4" fillId="0" borderId="0" xfId="5" applyFont="1" applyFill="1" applyBorder="1" applyAlignment="1" applyProtection="1">
      <alignment horizontal="center" vertical="center" wrapText="1"/>
    </xf>
    <xf numFmtId="0" fontId="46" fillId="0" borderId="0" xfId="0" applyFont="1" applyAlignment="1">
      <alignment horizontal="left"/>
    </xf>
    <xf numFmtId="0" fontId="0" fillId="0" borderId="0" xfId="0" applyFont="1" applyBorder="1" applyAlignment="1">
      <alignment horizontal="left"/>
    </xf>
    <xf numFmtId="0" fontId="87" fillId="0" borderId="0" xfId="0" applyFont="1" applyAlignment="1">
      <alignment wrapText="1"/>
    </xf>
    <xf numFmtId="172" fontId="85" fillId="0" borderId="0" xfId="2" applyNumberFormat="1" applyFont="1" applyFill="1" applyBorder="1" applyAlignment="1">
      <alignment horizontal="center" vertical="center" wrapText="1"/>
    </xf>
    <xf numFmtId="0" fontId="4" fillId="0" borderId="0" xfId="4" applyFill="1" applyAlignment="1" applyProtection="1">
      <alignment horizontal="left" vertical="center" wrapText="1"/>
    </xf>
    <xf numFmtId="0" fontId="5"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wrapText="1"/>
    </xf>
    <xf numFmtId="0" fontId="4" fillId="0" borderId="0" xfId="0" applyFont="1" applyFill="1" applyAlignment="1" applyProtection="1">
      <alignment horizontal="left" vertical="top" wrapText="1"/>
    </xf>
    <xf numFmtId="175" fontId="5"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left" wrapText="1"/>
    </xf>
    <xf numFmtId="0" fontId="4" fillId="0" borderId="0" xfId="0" applyFont="1" applyFill="1" applyAlignment="1" applyProtection="1">
      <alignment horizontal="left" vertical="top"/>
    </xf>
    <xf numFmtId="1" fontId="5" fillId="0" borderId="0" xfId="0" applyNumberFormat="1" applyFont="1" applyFill="1" applyAlignment="1">
      <alignment horizontal="left" vertical="top" wrapText="1"/>
    </xf>
    <xf numFmtId="0" fontId="5" fillId="0" borderId="0" xfId="0" applyFont="1" applyFill="1" applyAlignment="1" applyProtection="1">
      <alignment horizontal="left" vertical="top" wrapText="1"/>
    </xf>
    <xf numFmtId="172" fontId="5" fillId="0" borderId="0" xfId="2" applyNumberFormat="1" applyFont="1" applyFill="1" applyBorder="1" applyAlignment="1">
      <alignment vertical="center" wrapText="1"/>
    </xf>
    <xf numFmtId="0" fontId="46" fillId="0" borderId="0" xfId="0" applyFont="1" applyAlignment="1"/>
    <xf numFmtId="177" fontId="46" fillId="0" borderId="0" xfId="152" applyNumberFormat="1" applyFont="1" applyAlignment="1"/>
    <xf numFmtId="3" fontId="0" fillId="0" borderId="0" xfId="0" applyNumberFormat="1" applyAlignment="1"/>
    <xf numFmtId="172" fontId="5" fillId="0" borderId="0" xfId="0" applyNumberFormat="1" applyFont="1" applyFill="1" applyAlignment="1">
      <alignment vertical="top" wrapText="1"/>
    </xf>
    <xf numFmtId="0" fontId="5" fillId="0" borderId="13" xfId="3" applyNumberFormat="1" applyFont="1" applyFill="1" applyBorder="1" applyAlignment="1">
      <alignment horizontal="center" vertical="center" wrapText="1"/>
    </xf>
    <xf numFmtId="0" fontId="49" fillId="64" borderId="0" xfId="0" applyFont="1" applyFill="1" applyBorder="1"/>
    <xf numFmtId="0" fontId="48" fillId="0" borderId="0" xfId="3" applyFont="1" applyFill="1" applyBorder="1" applyAlignment="1">
      <alignment wrapText="1"/>
    </xf>
    <xf numFmtId="0" fontId="49" fillId="0" borderId="0" xfId="3" applyFont="1" applyFill="1" applyBorder="1" applyAlignment="1">
      <alignment wrapText="1"/>
    </xf>
    <xf numFmtId="0" fontId="48" fillId="64" borderId="0" xfId="0" applyFont="1" applyFill="1" applyBorder="1" applyAlignment="1">
      <alignment horizontal="left" wrapText="1" indent="3"/>
    </xf>
    <xf numFmtId="0" fontId="9" fillId="64" borderId="0" xfId="4" applyFont="1" applyFill="1" applyBorder="1" applyAlignment="1" applyProtection="1">
      <alignment wrapText="1"/>
    </xf>
    <xf numFmtId="0" fontId="89" fillId="0" borderId="0" xfId="0" applyFont="1" applyAlignment="1">
      <alignment wrapText="1"/>
    </xf>
    <xf numFmtId="0" fontId="89" fillId="0" borderId="0" xfId="0" applyFont="1"/>
    <xf numFmtId="14" fontId="0" fillId="0" borderId="0" xfId="0" applyNumberFormat="1"/>
    <xf numFmtId="1" fontId="5" fillId="0" borderId="0" xfId="1" applyNumberFormat="1" applyFont="1" applyFill="1" applyBorder="1" applyAlignment="1">
      <alignment horizontal="right" vertical="center" wrapText="1"/>
    </xf>
    <xf numFmtId="1" fontId="5" fillId="0" borderId="0" xfId="1" applyNumberFormat="1" applyFont="1" applyFill="1" applyAlignment="1">
      <alignment horizontal="right" vertical="center" wrapText="1"/>
    </xf>
    <xf numFmtId="1" fontId="5" fillId="0" borderId="0" xfId="1" applyNumberFormat="1" applyFont="1" applyFill="1" applyBorder="1" applyAlignment="1">
      <alignment horizontal="right" wrapText="1"/>
    </xf>
    <xf numFmtId="1" fontId="5" fillId="0" borderId="0" xfId="1" applyNumberFormat="1" applyFont="1" applyFill="1" applyAlignment="1">
      <alignment horizontal="right" wrapText="1"/>
    </xf>
    <xf numFmtId="1" fontId="74" fillId="0" borderId="0" xfId="1" applyNumberFormat="1" applyFont="1" applyFill="1" applyAlignment="1">
      <alignment horizontal="right" wrapText="1"/>
    </xf>
    <xf numFmtId="43" fontId="5" fillId="0" borderId="0" xfId="1" applyFont="1" applyFill="1" applyBorder="1" applyAlignment="1">
      <alignment horizontal="right" vertical="center" wrapText="1"/>
    </xf>
    <xf numFmtId="0" fontId="46" fillId="0" borderId="0" xfId="0" applyFont="1" applyAlignment="1">
      <alignment horizontal="right"/>
    </xf>
    <xf numFmtId="0" fontId="4" fillId="0" borderId="0" xfId="4" applyFont="1" applyAlignment="1" applyProtection="1">
      <alignment horizontal="left" vertical="center" wrapText="1"/>
    </xf>
    <xf numFmtId="0" fontId="0" fillId="0" borderId="0" xfId="0" applyFont="1" applyAlignment="1">
      <alignment horizontal="right" vertical="center" wrapText="1"/>
    </xf>
    <xf numFmtId="4" fontId="1" fillId="0" borderId="0" xfId="5" applyNumberFormat="1" applyFont="1" applyFill="1" applyBorder="1" applyAlignment="1" applyProtection="1">
      <alignment horizontal="center" vertical="center" wrapText="1"/>
    </xf>
    <xf numFmtId="0" fontId="0" fillId="71" borderId="0" xfId="0" applyFont="1" applyFill="1"/>
    <xf numFmtId="0" fontId="4" fillId="0" borderId="0" xfId="4" applyFont="1" applyAlignment="1" applyProtection="1">
      <alignment vertical="center"/>
    </xf>
    <xf numFmtId="0" fontId="0" fillId="70" borderId="0" xfId="0" applyFont="1" applyFill="1"/>
    <xf numFmtId="0" fontId="0" fillId="65" borderId="0" xfId="0" applyFont="1" applyFill="1"/>
    <xf numFmtId="0" fontId="54" fillId="0" borderId="0" xfId="155" applyFont="1" applyBorder="1" applyAlignment="1">
      <alignment horizontal="left" vertical="center"/>
    </xf>
    <xf numFmtId="164" fontId="1" fillId="0" borderId="0" xfId="1" applyNumberFormat="1" applyFont="1" applyAlignment="1">
      <alignment horizontal="right"/>
    </xf>
    <xf numFmtId="0" fontId="0" fillId="0" borderId="0" xfId="0" applyFont="1" applyAlignment="1">
      <alignment horizontal="left"/>
    </xf>
    <xf numFmtId="0" fontId="5" fillId="0" borderId="0" xfId="0" applyFont="1" applyBorder="1" applyAlignment="1">
      <alignment horizontal="left" vertical="center" wrapText="1"/>
    </xf>
    <xf numFmtId="0" fontId="5" fillId="0" borderId="0" xfId="3" applyFont="1" applyFill="1" applyAlignment="1">
      <alignment horizontal="left" vertical="center" wrapText="1"/>
    </xf>
    <xf numFmtId="0" fontId="80" fillId="0" borderId="0" xfId="0" applyFont="1" applyAlignment="1">
      <alignment horizontal="left" vertical="center" wrapText="1"/>
    </xf>
    <xf numFmtId="0" fontId="0" fillId="0" borderId="0" xfId="0" applyFont="1" applyBorder="1" applyAlignment="1">
      <alignment horizontal="left" wrapText="1"/>
    </xf>
    <xf numFmtId="0" fontId="65" fillId="0" borderId="0" xfId="0" applyFont="1" applyFill="1" applyAlignment="1">
      <alignment horizontal="left" vertical="center" wrapText="1"/>
    </xf>
    <xf numFmtId="0" fontId="0" fillId="0" borderId="0" xfId="0" applyFont="1" applyAlignment="1">
      <alignment horizontal="left" wrapText="1"/>
    </xf>
    <xf numFmtId="0" fontId="55" fillId="0" borderId="0" xfId="4" applyFont="1" applyFill="1" applyAlignment="1" applyProtection="1">
      <alignment horizontal="left" wrapText="1"/>
    </xf>
    <xf numFmtId="0" fontId="77" fillId="0" borderId="0" xfId="0" applyFont="1" applyBorder="1" applyAlignment="1">
      <alignment horizontal="left" vertical="center" wrapText="1"/>
    </xf>
    <xf numFmtId="0" fontId="78" fillId="0" borderId="0" xfId="0" applyFont="1" applyBorder="1" applyAlignment="1">
      <alignment horizontal="left" vertical="center" wrapText="1"/>
    </xf>
    <xf numFmtId="0" fontId="76" fillId="0" borderId="0" xfId="0" applyFont="1" applyBorder="1" applyAlignment="1">
      <alignment horizontal="center" vertical="center"/>
    </xf>
    <xf numFmtId="0" fontId="78" fillId="0" borderId="0" xfId="0" applyFont="1" applyBorder="1" applyAlignment="1">
      <alignment horizontal="center" vertical="center" wrapText="1"/>
    </xf>
    <xf numFmtId="175" fontId="78" fillId="0" borderId="0" xfId="0" applyNumberFormat="1" applyFont="1" applyBorder="1" applyAlignment="1">
      <alignment horizontal="center" vertical="center" wrapText="1"/>
    </xf>
    <xf numFmtId="164" fontId="78" fillId="0" borderId="0" xfId="1" applyNumberFormat="1" applyFont="1" applyBorder="1" applyAlignment="1">
      <alignment horizontal="center" vertical="center" wrapText="1"/>
    </xf>
    <xf numFmtId="2" fontId="78" fillId="0" borderId="0" xfId="1" applyNumberFormat="1" applyFont="1" applyBorder="1" applyAlignment="1">
      <alignment horizontal="center" vertical="center" wrapText="1"/>
    </xf>
    <xf numFmtId="43" fontId="78" fillId="0" borderId="0" xfId="1" applyNumberFormat="1" applyFont="1" applyBorder="1" applyAlignment="1">
      <alignment horizontal="center" vertical="center" wrapText="1"/>
    </xf>
    <xf numFmtId="0" fontId="75" fillId="0" borderId="0" xfId="0" applyFont="1" applyBorder="1" applyAlignment="1">
      <alignment vertical="center" wrapText="1"/>
    </xf>
    <xf numFmtId="14" fontId="5" fillId="0" borderId="0" xfId="3" applyNumberFormat="1" applyFont="1" applyFill="1" applyBorder="1" applyAlignment="1">
      <alignment horizontal="right" vertical="center" wrapText="1"/>
    </xf>
    <xf numFmtId="0" fontId="0" fillId="71" borderId="0" xfId="0" applyFont="1" applyFill="1" applyAlignment="1">
      <alignment horizontal="left" vertical="center" wrapText="1"/>
    </xf>
    <xf numFmtId="0" fontId="5" fillId="0" borderId="0" xfId="5" applyFont="1" applyFill="1" applyBorder="1" applyAlignment="1" applyProtection="1">
      <alignment vertical="center" wrapText="1"/>
    </xf>
    <xf numFmtId="0" fontId="5" fillId="0" borderId="0" xfId="3" applyFont="1" applyFill="1" applyBorder="1" applyAlignment="1">
      <alignment vertical="center" wrapText="1"/>
    </xf>
    <xf numFmtId="0" fontId="0" fillId="0" borderId="0" xfId="0" applyFont="1" applyFill="1" applyBorder="1" applyAlignment="1">
      <alignment vertical="center" wrapText="1"/>
    </xf>
    <xf numFmtId="0" fontId="68" fillId="0" borderId="0" xfId="4" applyFont="1" applyFill="1" applyBorder="1" applyAlignment="1" applyProtection="1">
      <alignment vertical="center" wrapText="1"/>
    </xf>
    <xf numFmtId="164" fontId="5" fillId="0" borderId="0" xfId="1" applyNumberFormat="1" applyFont="1" applyFill="1" applyBorder="1" applyAlignment="1">
      <alignment horizontal="right" vertical="center" wrapText="1"/>
    </xf>
    <xf numFmtId="0" fontId="66" fillId="0" borderId="0" xfId="3" applyFont="1" applyFill="1" applyBorder="1" applyAlignment="1">
      <alignment horizontal="left" vertical="center" wrapText="1"/>
    </xf>
    <xf numFmtId="0" fontId="55" fillId="0" borderId="0" xfId="4" applyFont="1" applyFill="1" applyBorder="1" applyAlignment="1" applyProtection="1">
      <alignment vertical="center" wrapText="1"/>
    </xf>
    <xf numFmtId="1" fontId="5" fillId="0" borderId="0" xfId="4" applyNumberFormat="1" applyFont="1" applyFill="1" applyBorder="1" applyAlignment="1" applyProtection="1">
      <alignment horizontal="left" vertical="center" wrapText="1"/>
    </xf>
    <xf numFmtId="14" fontId="5" fillId="0" borderId="0" xfId="3" applyNumberFormat="1" applyFont="1" applyFill="1" applyAlignment="1">
      <alignment horizontal="right" vertical="center" wrapText="1"/>
    </xf>
    <xf numFmtId="0" fontId="3" fillId="0" borderId="0" xfId="3" applyFont="1" applyFill="1" applyAlignment="1">
      <alignment horizontal="left" vertical="center"/>
    </xf>
    <xf numFmtId="0" fontId="0" fillId="0" borderId="0" xfId="0" applyFont="1" applyAlignment="1">
      <alignment horizontal="left" vertical="center"/>
    </xf>
    <xf numFmtId="0" fontId="5" fillId="0" borderId="0" xfId="3" applyNumberFormat="1" applyFont="1" applyFill="1" applyBorder="1" applyAlignment="1">
      <alignment horizontal="left" vertical="center"/>
    </xf>
    <xf numFmtId="0" fontId="4" fillId="0" borderId="0" xfId="4" applyFont="1" applyFill="1" applyBorder="1" applyAlignment="1" applyProtection="1">
      <alignment horizontal="left" vertical="center"/>
    </xf>
    <xf numFmtId="0" fontId="5" fillId="0" borderId="0" xfId="0" applyFont="1" applyFill="1" applyBorder="1" applyAlignment="1">
      <alignment vertical="center"/>
    </xf>
    <xf numFmtId="14" fontId="3" fillId="0" borderId="0" xfId="3" applyNumberFormat="1" applyFont="1" applyFill="1" applyAlignment="1">
      <alignment vertical="center"/>
    </xf>
    <xf numFmtId="43" fontId="66" fillId="0" borderId="0" xfId="1" applyFont="1" applyFill="1" applyBorder="1" applyAlignment="1">
      <alignment horizontal="right" vertical="center" wrapText="1"/>
    </xf>
    <xf numFmtId="0" fontId="68" fillId="0" borderId="0" xfId="4" applyFont="1" applyFill="1" applyBorder="1" applyAlignment="1" applyProtection="1">
      <alignment vertical="center"/>
    </xf>
    <xf numFmtId="0" fontId="80" fillId="0" borderId="0" xfId="0" applyFont="1" applyAlignment="1">
      <alignment horizontal="left" vertical="center"/>
    </xf>
    <xf numFmtId="0" fontId="30" fillId="0" borderId="0" xfId="0" applyFont="1" applyAlignment="1">
      <alignment vertical="center"/>
    </xf>
    <xf numFmtId="0" fontId="55" fillId="0" borderId="0" xfId="4" applyFont="1" applyFill="1" applyBorder="1" applyAlignment="1" applyProtection="1">
      <alignment vertical="center"/>
    </xf>
    <xf numFmtId="0" fontId="0" fillId="0" borderId="0" xfId="0" applyFont="1" applyBorder="1" applyAlignment="1">
      <alignment horizontal="left" vertical="center" wrapText="1"/>
    </xf>
    <xf numFmtId="0" fontId="5" fillId="0" borderId="0" xfId="3" applyFont="1" applyAlignment="1">
      <alignment horizontal="left" vertical="center" wrapText="1"/>
    </xf>
    <xf numFmtId="0" fontId="55" fillId="0" borderId="0" xfId="4" applyFont="1" applyAlignment="1" applyProtection="1">
      <alignment horizontal="left" vertical="center"/>
    </xf>
    <xf numFmtId="0" fontId="0" fillId="0" borderId="0" xfId="0" applyFont="1" applyAlignment="1">
      <alignment vertical="center" wrapText="1"/>
    </xf>
    <xf numFmtId="0" fontId="0" fillId="0" borderId="0" xfId="0" applyFont="1" applyFill="1" applyAlignment="1">
      <alignment vertical="center" wrapText="1"/>
    </xf>
    <xf numFmtId="14" fontId="5" fillId="0" borderId="0" xfId="3" applyNumberFormat="1" applyFont="1" applyAlignment="1">
      <alignment horizontal="right" vertical="center" wrapText="1"/>
    </xf>
    <xf numFmtId="1" fontId="5" fillId="0" borderId="0" xfId="1" applyNumberFormat="1" applyFont="1" applyAlignment="1">
      <alignment horizontal="right" vertical="center" wrapText="1"/>
    </xf>
    <xf numFmtId="0" fontId="5" fillId="0" borderId="0" xfId="4" applyFont="1" applyAlignment="1" applyProtection="1">
      <alignment horizontal="left" vertical="center" wrapText="1"/>
    </xf>
    <xf numFmtId="0" fontId="5" fillId="0" borderId="0" xfId="0" applyFont="1" applyFill="1" applyAlignment="1">
      <alignment horizontal="left" vertical="center" wrapText="1"/>
    </xf>
    <xf numFmtId="4" fontId="5" fillId="0" borderId="0" xfId="5" applyNumberFormat="1" applyFont="1" applyFill="1" applyBorder="1" applyAlignment="1" applyProtection="1">
      <alignment horizontal="left" vertical="center" wrapText="1"/>
    </xf>
    <xf numFmtId="164" fontId="66" fillId="0" borderId="0" xfId="22" applyNumberFormat="1" applyFont="1" applyFill="1" applyBorder="1" applyAlignment="1">
      <alignment horizontal="right" vertical="center" wrapText="1"/>
    </xf>
    <xf numFmtId="0" fontId="55" fillId="0" borderId="0" xfId="4" applyFont="1" applyAlignment="1" applyProtection="1">
      <alignment vertical="center"/>
    </xf>
    <xf numFmtId="0" fontId="55" fillId="0" borderId="0" xfId="4" applyFont="1" applyFill="1" applyAlignment="1" applyProtection="1">
      <alignment vertical="center" wrapText="1"/>
    </xf>
    <xf numFmtId="0" fontId="5" fillId="0" borderId="0" xfId="5" applyFont="1" applyFill="1" applyAlignment="1" applyProtection="1">
      <alignment vertical="center" wrapText="1"/>
    </xf>
    <xf numFmtId="1" fontId="5" fillId="0" borderId="0" xfId="4" applyNumberFormat="1" applyFont="1" applyFill="1" applyAlignment="1" applyProtection="1">
      <alignment horizontal="left" vertical="center" wrapText="1"/>
    </xf>
    <xf numFmtId="0" fontId="65" fillId="0" borderId="0" xfId="0" applyFont="1" applyFill="1" applyAlignment="1">
      <alignment horizontal="left" vertical="center"/>
    </xf>
    <xf numFmtId="0" fontId="0" fillId="0" borderId="0" xfId="0" applyFont="1" applyFill="1" applyAlignment="1">
      <alignment horizontal="left" vertical="center"/>
    </xf>
    <xf numFmtId="0" fontId="0" fillId="0" borderId="0" xfId="0" applyFont="1" applyAlignment="1">
      <alignment vertical="center"/>
    </xf>
    <xf numFmtId="166" fontId="68" fillId="0" borderId="0" xfId="4" applyNumberFormat="1" applyFont="1" applyFill="1" applyBorder="1" applyAlignment="1" applyProtection="1">
      <alignment vertical="center" wrapText="1"/>
    </xf>
    <xf numFmtId="0" fontId="55" fillId="0" borderId="30" xfId="4" applyFont="1" applyFill="1" applyBorder="1" applyAlignment="1" applyProtection="1">
      <alignment vertical="center" wrapText="1"/>
    </xf>
    <xf numFmtId="0" fontId="4" fillId="0" borderId="0" xfId="4" applyFont="1" applyFill="1" applyBorder="1" applyAlignment="1" applyProtection="1">
      <alignment vertical="center" wrapText="1"/>
    </xf>
    <xf numFmtId="0" fontId="65" fillId="0" borderId="0" xfId="0" applyFont="1" applyAlignment="1">
      <alignment horizontal="left" vertical="center"/>
    </xf>
    <xf numFmtId="0" fontId="68" fillId="0" borderId="0" xfId="4" applyFont="1" applyFill="1" applyAlignment="1" applyProtection="1">
      <alignment vertical="center" wrapText="1"/>
    </xf>
    <xf numFmtId="0" fontId="3" fillId="0" borderId="0" xfId="3" applyFont="1" applyFill="1" applyAlignment="1">
      <alignment horizontal="left" vertical="center" wrapText="1"/>
    </xf>
    <xf numFmtId="0" fontId="72" fillId="0" borderId="0" xfId="0" applyFont="1" applyAlignment="1">
      <alignment horizontal="left" vertical="center"/>
    </xf>
    <xf numFmtId="4" fontId="1" fillId="0" borderId="0" xfId="5" applyNumberFormat="1" applyFont="1" applyFill="1" applyBorder="1" applyAlignment="1" applyProtection="1">
      <alignment vertical="center" wrapText="1"/>
    </xf>
    <xf numFmtId="0" fontId="1" fillId="0" borderId="0" xfId="3" applyFont="1" applyFill="1" applyBorder="1" applyAlignment="1">
      <alignment horizontal="left" vertical="center" wrapText="1"/>
    </xf>
    <xf numFmtId="0" fontId="1" fillId="0" borderId="0" xfId="3" applyFont="1" applyFill="1" applyBorder="1" applyAlignment="1">
      <alignment vertical="center" wrapText="1"/>
    </xf>
    <xf numFmtId="14" fontId="0" fillId="0" borderId="0" xfId="0" applyNumberFormat="1" applyFont="1" applyFill="1" applyAlignment="1">
      <alignment vertical="center"/>
    </xf>
    <xf numFmtId="0" fontId="78" fillId="0" borderId="0" xfId="3" applyFont="1" applyBorder="1" applyAlignment="1">
      <alignment horizontal="left" vertical="center" wrapText="1"/>
    </xf>
    <xf numFmtId="14" fontId="5" fillId="0" borderId="0" xfId="3" applyNumberFormat="1" applyFont="1" applyFill="1" applyAlignment="1">
      <alignment horizontal="left" vertical="top" wrapText="1"/>
    </xf>
    <xf numFmtId="0" fontId="0" fillId="0" borderId="0" xfId="0" applyFont="1" applyFill="1" applyAlignment="1">
      <alignment horizontal="left" vertical="top" wrapText="1"/>
    </xf>
    <xf numFmtId="0" fontId="0" fillId="0" borderId="0" xfId="0" applyFont="1" applyFill="1" applyBorder="1" applyAlignment="1">
      <alignment horizontal="left" vertical="top" wrapText="1"/>
    </xf>
    <xf numFmtId="0" fontId="0" fillId="0" borderId="0" xfId="0" applyFont="1" applyAlignment="1">
      <alignment horizontal="left" vertical="top" wrapText="1"/>
    </xf>
    <xf numFmtId="2" fontId="5" fillId="0" borderId="0" xfId="1" applyNumberFormat="1" applyFont="1" applyFill="1" applyBorder="1" applyAlignment="1">
      <alignment horizontal="left" vertical="top" wrapText="1"/>
    </xf>
    <xf numFmtId="0" fontId="5" fillId="0" borderId="0" xfId="3" applyFont="1" applyFill="1" applyBorder="1" applyAlignment="1">
      <alignment horizontal="left" vertical="top" wrapText="1"/>
    </xf>
    <xf numFmtId="0" fontId="3" fillId="0" borderId="0" xfId="3" applyFont="1" applyFill="1" applyAlignment="1">
      <alignment horizontal="left" vertical="top"/>
    </xf>
    <xf numFmtId="14" fontId="5" fillId="0" borderId="0" xfId="3" applyNumberFormat="1" applyFont="1" applyFill="1" applyBorder="1" applyAlignment="1">
      <alignment horizontal="left" vertical="top" wrapText="1"/>
    </xf>
    <xf numFmtId="0" fontId="0" fillId="0" borderId="0" xfId="0" applyFont="1" applyAlignment="1">
      <alignment horizontal="left" vertical="top"/>
    </xf>
    <xf numFmtId="0" fontId="68" fillId="0" borderId="0" xfId="4" applyFont="1" applyFill="1" applyBorder="1" applyAlignment="1" applyProtection="1">
      <alignment horizontal="left" vertical="center" wrapText="1"/>
    </xf>
    <xf numFmtId="1" fontId="55" fillId="0" borderId="0" xfId="4" applyNumberFormat="1" applyFont="1" applyFill="1" applyBorder="1" applyAlignment="1" applyProtection="1">
      <alignment horizontal="left" vertical="center" wrapText="1"/>
    </xf>
    <xf numFmtId="0" fontId="68" fillId="0" borderId="0" xfId="4" applyFont="1" applyFill="1" applyBorder="1" applyAlignment="1" applyProtection="1">
      <alignment horizontal="left" vertical="center"/>
    </xf>
    <xf numFmtId="0" fontId="5" fillId="0" borderId="0" xfId="0" applyFont="1" applyAlignment="1">
      <alignment horizontal="left" vertical="center"/>
    </xf>
    <xf numFmtId="166" fontId="68" fillId="0" borderId="0" xfId="4" applyNumberFormat="1" applyFont="1" applyFill="1" applyBorder="1" applyAlignment="1" applyProtection="1">
      <alignment horizontal="left" vertical="center" wrapText="1"/>
    </xf>
    <xf numFmtId="0" fontId="4" fillId="0" borderId="0" xfId="4" applyFont="1" applyAlignment="1" applyProtection="1">
      <alignment horizontal="left" vertical="center"/>
    </xf>
    <xf numFmtId="0" fontId="4" fillId="0" borderId="0" xfId="4" applyFont="1" applyFill="1" applyAlignment="1" applyProtection="1">
      <alignment horizontal="left" vertical="center" wrapText="1"/>
    </xf>
    <xf numFmtId="2" fontId="5" fillId="0" borderId="0" xfId="1" applyNumberFormat="1" applyFont="1" applyFill="1" applyAlignment="1">
      <alignment horizontal="right" vertical="center" wrapText="1"/>
    </xf>
    <xf numFmtId="43" fontId="5" fillId="0" borderId="0" xfId="1" applyNumberFormat="1" applyFont="1" applyFill="1" applyBorder="1" applyAlignment="1">
      <alignment horizontal="right" vertical="center" wrapText="1"/>
    </xf>
    <xf numFmtId="0" fontId="5" fillId="0" borderId="0" xfId="0" applyFont="1" applyFill="1" applyBorder="1" applyAlignment="1">
      <alignment horizontal="right" vertical="center" wrapText="1"/>
    </xf>
    <xf numFmtId="0" fontId="5" fillId="0" borderId="0" xfId="0" applyFont="1" applyAlignment="1">
      <alignment horizontal="right" vertical="center" wrapText="1"/>
    </xf>
    <xf numFmtId="0" fontId="5" fillId="0" borderId="0" xfId="0" applyFont="1" applyFill="1" applyAlignment="1">
      <alignment horizontal="right" vertical="center" wrapText="1"/>
    </xf>
    <xf numFmtId="43" fontId="5" fillId="0" borderId="0" xfId="1" applyNumberFormat="1" applyFont="1" applyFill="1" applyAlignment="1">
      <alignment horizontal="right" vertical="center" wrapText="1"/>
    </xf>
    <xf numFmtId="0" fontId="0" fillId="0" borderId="0" xfId="0" applyFont="1" applyFill="1" applyBorder="1" applyAlignment="1">
      <alignment horizontal="right" vertical="center"/>
    </xf>
    <xf numFmtId="0" fontId="5" fillId="0" borderId="0" xfId="0" applyFont="1" applyAlignment="1">
      <alignment horizontal="right" vertical="center"/>
    </xf>
    <xf numFmtId="0" fontId="0" fillId="0" borderId="0" xfId="0" applyFont="1" applyFill="1" applyAlignment="1">
      <alignment horizontal="right" vertical="center"/>
    </xf>
    <xf numFmtId="0" fontId="5" fillId="0" borderId="0" xfId="0" applyFont="1" applyFill="1" applyBorder="1" applyAlignment="1">
      <alignment horizontal="right" vertical="center"/>
    </xf>
    <xf numFmtId="43" fontId="0" fillId="0" borderId="0" xfId="0" applyNumberFormat="1" applyFont="1" applyAlignment="1">
      <alignment horizontal="right"/>
    </xf>
    <xf numFmtId="0" fontId="75" fillId="0" borderId="0" xfId="0" applyFont="1" applyBorder="1" applyAlignment="1">
      <alignment horizontal="center" vertical="center" wrapText="1"/>
    </xf>
    <xf numFmtId="0" fontId="5" fillId="0" borderId="0" xfId="4" applyFont="1" applyFill="1" applyAlignment="1" applyProtection="1">
      <alignment horizontal="left" vertical="center" wrapText="1"/>
    </xf>
    <xf numFmtId="0" fontId="47" fillId="0" borderId="0" xfId="0" applyFont="1" applyFill="1" applyBorder="1" applyAlignment="1">
      <alignment horizontal="left" vertical="center" wrapText="1"/>
    </xf>
    <xf numFmtId="0" fontId="88" fillId="0" borderId="0" xfId="4" applyFont="1" applyFill="1" applyBorder="1" applyAlignment="1" applyProtection="1">
      <alignment horizontal="left" vertical="center" wrapText="1"/>
    </xf>
    <xf numFmtId="6" fontId="55" fillId="0" borderId="0" xfId="4" quotePrefix="1" applyNumberFormat="1" applyFont="1" applyFill="1" applyBorder="1" applyAlignment="1" applyProtection="1">
      <alignment horizontal="left" vertical="center" wrapText="1"/>
    </xf>
    <xf numFmtId="0" fontId="70" fillId="0" borderId="0" xfId="4" applyFont="1" applyFill="1" applyBorder="1" applyAlignment="1" applyProtection="1">
      <alignment horizontal="left" vertical="center" wrapText="1"/>
    </xf>
    <xf numFmtId="6" fontId="73" fillId="0" borderId="0" xfId="4" applyNumberFormat="1" applyFont="1" applyFill="1" applyBorder="1" applyAlignment="1" applyProtection="1">
      <alignment horizontal="left" vertical="center" wrapText="1"/>
    </xf>
    <xf numFmtId="6" fontId="55" fillId="0" borderId="13" xfId="4" applyNumberFormat="1" applyFont="1" applyFill="1" applyBorder="1" applyAlignment="1" applyProtection="1">
      <alignment horizontal="left" vertical="center" wrapText="1"/>
    </xf>
    <xf numFmtId="0" fontId="88" fillId="0" borderId="13" xfId="4" applyFont="1" applyFill="1" applyBorder="1" applyAlignment="1" applyProtection="1">
      <alignment horizontal="left" vertical="center" wrapText="1"/>
    </xf>
    <xf numFmtId="0" fontId="0" fillId="0" borderId="0" xfId="0" applyFill="1" applyBorder="1" applyAlignment="1">
      <alignment horizontal="left"/>
    </xf>
    <xf numFmtId="173" fontId="55" fillId="0" borderId="0" xfId="4" applyNumberFormat="1" applyFont="1" applyFill="1" applyBorder="1" applyAlignment="1" applyProtection="1">
      <alignment horizontal="left" vertical="center" wrapText="1"/>
    </xf>
    <xf numFmtId="0" fontId="4" fillId="0" borderId="0" xfId="4" applyFill="1" applyAlignment="1" applyProtection="1">
      <alignment horizontal="left" wrapText="1"/>
    </xf>
    <xf numFmtId="0" fontId="0" fillId="0" borderId="0" xfId="0" applyFill="1" applyBorder="1" applyAlignment="1">
      <alignment horizontal="right"/>
    </xf>
    <xf numFmtId="43" fontId="0" fillId="0" borderId="0" xfId="1" applyFont="1" applyFill="1" applyAlignment="1">
      <alignment horizontal="right" wrapText="1"/>
    </xf>
    <xf numFmtId="2" fontId="5" fillId="0" borderId="0" xfId="1" applyNumberFormat="1" applyFont="1" applyFill="1" applyBorder="1" applyAlignment="1">
      <alignment horizontal="right" wrapText="1"/>
    </xf>
    <xf numFmtId="1" fontId="5" fillId="0" borderId="0" xfId="0" applyNumberFormat="1" applyFont="1" applyFill="1" applyBorder="1" applyAlignment="1">
      <alignment horizontal="right" wrapText="1"/>
    </xf>
    <xf numFmtId="164" fontId="5" fillId="0" borderId="0" xfId="22" applyNumberFormat="1" applyFont="1" applyFill="1" applyBorder="1" applyAlignment="1">
      <alignment horizontal="right" wrapText="1"/>
    </xf>
    <xf numFmtId="164" fontId="66" fillId="0" borderId="0" xfId="22" applyNumberFormat="1" applyFont="1" applyFill="1" applyBorder="1" applyAlignment="1" applyProtection="1">
      <alignment horizontal="right" wrapText="1"/>
    </xf>
    <xf numFmtId="1" fontId="5" fillId="0" borderId="0" xfId="1" applyNumberFormat="1" applyFont="1" applyFill="1" applyBorder="1" applyAlignment="1" applyProtection="1">
      <alignment horizontal="right" wrapText="1"/>
    </xf>
    <xf numFmtId="1" fontId="5" fillId="0" borderId="11" xfId="1" applyNumberFormat="1" applyFont="1" applyFill="1" applyBorder="1" applyAlignment="1">
      <alignment horizontal="right" wrapText="1"/>
    </xf>
    <xf numFmtId="164" fontId="5" fillId="0" borderId="11" xfId="1" applyNumberFormat="1" applyFont="1" applyFill="1" applyBorder="1" applyAlignment="1">
      <alignment horizontal="right" wrapText="1"/>
    </xf>
    <xf numFmtId="1" fontId="5" fillId="0" borderId="0" xfId="3" applyNumberFormat="1" applyFont="1" applyFill="1" applyBorder="1" applyAlignment="1">
      <alignment horizontal="right" wrapText="1"/>
    </xf>
    <xf numFmtId="0" fontId="52" fillId="0" borderId="0" xfId="0" applyFont="1" applyFill="1" applyBorder="1" applyAlignment="1">
      <alignment horizontal="right" wrapText="1"/>
    </xf>
    <xf numFmtId="164" fontId="0" fillId="0" borderId="0" xfId="22" applyNumberFormat="1" applyFont="1" applyFill="1" applyBorder="1" applyAlignment="1">
      <alignment horizontal="right" wrapText="1"/>
    </xf>
    <xf numFmtId="1" fontId="5" fillId="0" borderId="0" xfId="0" applyNumberFormat="1" applyFont="1" applyFill="1" applyAlignment="1">
      <alignment horizontal="right" wrapText="1"/>
    </xf>
    <xf numFmtId="2" fontId="5" fillId="0" borderId="0" xfId="0" applyNumberFormat="1" applyFont="1" applyFill="1" applyAlignment="1">
      <alignment horizontal="right" wrapText="1"/>
    </xf>
    <xf numFmtId="164" fontId="47" fillId="0" borderId="0" xfId="1" applyNumberFormat="1" applyFont="1" applyFill="1" applyBorder="1" applyAlignment="1">
      <alignment horizontal="center" wrapText="1"/>
    </xf>
    <xf numFmtId="2" fontId="47" fillId="0" borderId="0" xfId="1" applyNumberFormat="1" applyFont="1" applyFill="1" applyBorder="1" applyAlignment="1">
      <alignment horizontal="center" wrapText="1"/>
    </xf>
    <xf numFmtId="43" fontId="5" fillId="0" borderId="0" xfId="1" applyFont="1" applyFill="1" applyAlignment="1">
      <alignment horizontal="right" vertical="center" wrapText="1"/>
    </xf>
    <xf numFmtId="1" fontId="4" fillId="0" borderId="0" xfId="4" applyNumberFormat="1" applyFont="1" applyFill="1" applyBorder="1" applyAlignment="1" applyProtection="1">
      <alignment horizontal="left" vertical="center" wrapText="1"/>
    </xf>
    <xf numFmtId="0" fontId="0" fillId="0" borderId="0" xfId="0" applyAlignment="1">
      <alignment horizontal="left" wrapText="1"/>
    </xf>
    <xf numFmtId="0" fontId="72" fillId="0" borderId="0" xfId="0" applyFont="1" applyAlignment="1">
      <alignment wrapText="1"/>
    </xf>
    <xf numFmtId="0" fontId="4" fillId="0" borderId="0" xfId="4" applyFont="1" applyBorder="1" applyAlignment="1" applyProtection="1">
      <alignment vertical="center"/>
    </xf>
    <xf numFmtId="0" fontId="68" fillId="0" borderId="30" xfId="4" applyFont="1" applyFill="1" applyBorder="1" applyAlignment="1" applyProtection="1">
      <alignment vertical="center" wrapText="1"/>
    </xf>
    <xf numFmtId="0" fontId="3" fillId="0" borderId="0" xfId="3" applyFont="1" applyFill="1" applyAlignment="1">
      <alignment horizontal="left" vertical="top" wrapText="1"/>
    </xf>
    <xf numFmtId="0" fontId="75" fillId="69" borderId="0" xfId="0" applyFont="1" applyFill="1" applyAlignment="1">
      <alignment horizontal="left" vertical="center" wrapText="1"/>
    </xf>
    <xf numFmtId="0" fontId="90" fillId="69" borderId="0" xfId="0" applyNumberFormat="1" applyFont="1" applyFill="1" applyBorder="1" applyAlignment="1" applyProtection="1">
      <alignment horizontal="left" vertical="center" wrapText="1"/>
    </xf>
    <xf numFmtId="0" fontId="91" fillId="69" borderId="0" xfId="0" applyFont="1" applyFill="1" applyAlignment="1" applyProtection="1">
      <alignment vertical="center" wrapText="1"/>
    </xf>
    <xf numFmtId="0" fontId="90" fillId="69" borderId="0" xfId="0" applyFont="1" applyFill="1" applyAlignment="1" applyProtection="1">
      <alignment vertical="center" wrapText="1"/>
    </xf>
    <xf numFmtId="0" fontId="75" fillId="69" borderId="0" xfId="0" applyFont="1" applyFill="1" applyAlignment="1">
      <alignment vertical="center" wrapText="1"/>
    </xf>
    <xf numFmtId="14" fontId="90" fillId="69" borderId="0" xfId="0" applyNumberFormat="1" applyFont="1" applyFill="1" applyBorder="1" applyAlignment="1" applyProtection="1">
      <alignment horizontal="right" vertical="center" wrapText="1"/>
    </xf>
    <xf numFmtId="14" fontId="90" fillId="69" borderId="0" xfId="0" applyNumberFormat="1" applyFont="1" applyFill="1" applyBorder="1" applyAlignment="1" applyProtection="1">
      <alignment horizontal="left" vertical="top" wrapText="1"/>
    </xf>
    <xf numFmtId="1" fontId="90" fillId="69" borderId="0" xfId="0" applyNumberFormat="1" applyFont="1" applyFill="1" applyAlignment="1">
      <alignment horizontal="right" vertical="center" wrapText="1"/>
    </xf>
    <xf numFmtId="2" fontId="90" fillId="69" borderId="0" xfId="0" applyNumberFormat="1" applyFont="1" applyFill="1" applyAlignment="1">
      <alignment horizontal="right" vertical="center" wrapText="1"/>
    </xf>
    <xf numFmtId="1" fontId="90" fillId="69" borderId="0" xfId="0" applyNumberFormat="1" applyFont="1" applyFill="1" applyAlignment="1" applyProtection="1">
      <alignment horizontal="left" vertical="center" wrapText="1"/>
    </xf>
    <xf numFmtId="0" fontId="75" fillId="69" borderId="0" xfId="0" applyFont="1" applyFill="1" applyAlignment="1">
      <alignment horizontal="right" vertical="center"/>
    </xf>
    <xf numFmtId="167" fontId="78" fillId="0" borderId="0" xfId="1" applyNumberFormat="1" applyFont="1" applyBorder="1" applyAlignment="1">
      <alignment horizontal="right" vertical="center" wrapText="1"/>
    </xf>
    <xf numFmtId="167" fontId="5" fillId="0" borderId="0" xfId="2" applyNumberFormat="1" applyFont="1" applyFill="1" applyBorder="1" applyAlignment="1">
      <alignment horizontal="right" vertical="center" wrapText="1"/>
    </xf>
    <xf numFmtId="167" fontId="5" fillId="0" borderId="0" xfId="1" applyNumberFormat="1" applyFont="1" applyFill="1" applyBorder="1" applyAlignment="1">
      <alignment horizontal="right" vertical="center" wrapText="1"/>
    </xf>
    <xf numFmtId="167" fontId="5" fillId="0" borderId="0" xfId="1" applyNumberFormat="1" applyFont="1" applyFill="1" applyBorder="1" applyAlignment="1">
      <alignment vertical="center"/>
    </xf>
    <xf numFmtId="167" fontId="5" fillId="0" borderId="0" xfId="1" applyNumberFormat="1" applyFont="1" applyFill="1" applyBorder="1" applyAlignment="1">
      <alignment vertical="center" wrapText="1"/>
    </xf>
    <xf numFmtId="167" fontId="0" fillId="0" borderId="0" xfId="1" applyNumberFormat="1" applyFont="1" applyAlignment="1">
      <alignment horizontal="right" vertical="center" wrapText="1"/>
    </xf>
    <xf numFmtId="167" fontId="5" fillId="0" borderId="0" xfId="1" applyNumberFormat="1" applyFont="1" applyFill="1" applyBorder="1" applyAlignment="1">
      <alignment horizontal="right" vertical="center"/>
    </xf>
    <xf numFmtId="167" fontId="1" fillId="0" borderId="0" xfId="1" applyNumberFormat="1" applyFont="1" applyAlignment="1">
      <alignment horizontal="right" vertical="center"/>
    </xf>
    <xf numFmtId="167" fontId="5" fillId="0" borderId="0" xfId="2" applyNumberFormat="1" applyFont="1" applyFill="1" applyAlignment="1">
      <alignment horizontal="center" vertical="center" wrapText="1"/>
    </xf>
    <xf numFmtId="167" fontId="66" fillId="0" borderId="0" xfId="1" applyNumberFormat="1" applyFont="1" applyFill="1" applyBorder="1" applyAlignment="1">
      <alignment horizontal="right" vertical="center" wrapText="1"/>
    </xf>
    <xf numFmtId="167" fontId="1" fillId="0" borderId="0" xfId="1" applyNumberFormat="1" applyFont="1" applyFill="1" applyAlignment="1">
      <alignment horizontal="right" vertical="center"/>
    </xf>
    <xf numFmtId="167" fontId="5" fillId="0" borderId="0" xfId="1" applyNumberFormat="1" applyFont="1" applyFill="1" applyAlignment="1">
      <alignment horizontal="right" vertical="center" wrapText="1"/>
    </xf>
    <xf numFmtId="167" fontId="1" fillId="0" borderId="0" xfId="1" applyNumberFormat="1" applyFont="1" applyBorder="1" applyAlignment="1">
      <alignment horizontal="right" vertical="center"/>
    </xf>
    <xf numFmtId="167" fontId="75" fillId="69" borderId="0" xfId="0" applyNumberFormat="1" applyFont="1" applyFill="1" applyAlignment="1">
      <alignment horizontal="right" vertical="center"/>
    </xf>
    <xf numFmtId="0" fontId="46" fillId="71" borderId="0" xfId="0" applyFont="1" applyFill="1"/>
    <xf numFmtId="15" fontId="0" fillId="71" borderId="0" xfId="0" applyNumberFormat="1" applyFill="1"/>
    <xf numFmtId="0" fontId="46" fillId="71" borderId="0" xfId="0" applyFont="1" applyFill="1" applyAlignment="1">
      <alignment wrapText="1"/>
    </xf>
    <xf numFmtId="0" fontId="56" fillId="0" borderId="0" xfId="0" applyFont="1" applyBorder="1" applyAlignment="1">
      <alignment horizontal="center" wrapText="1"/>
    </xf>
    <xf numFmtId="0" fontId="57" fillId="0" borderId="15" xfId="0" applyFont="1" applyFill="1" applyBorder="1" applyAlignment="1">
      <alignment horizontal="center" vertical="center" wrapText="1"/>
    </xf>
    <xf numFmtId="0" fontId="57" fillId="0" borderId="16" xfId="0" applyFont="1" applyFill="1" applyBorder="1" applyAlignment="1">
      <alignment horizontal="center" vertical="center" wrapText="1"/>
    </xf>
    <xf numFmtId="0" fontId="57" fillId="0" borderId="15" xfId="0" applyFont="1" applyFill="1" applyBorder="1" applyAlignment="1">
      <alignment horizontal="center"/>
    </xf>
    <xf numFmtId="0" fontId="57" fillId="0" borderId="16" xfId="0" applyFont="1" applyFill="1" applyBorder="1" applyAlignment="1">
      <alignment horizontal="center"/>
    </xf>
    <xf numFmtId="0" fontId="57" fillId="0" borderId="17" xfId="0" applyFont="1" applyFill="1" applyBorder="1" applyAlignment="1">
      <alignment horizontal="center"/>
    </xf>
    <xf numFmtId="0" fontId="60" fillId="0" borderId="17" xfId="0" applyFont="1" applyBorder="1" applyAlignment="1">
      <alignment horizontal="left" vertical="top" wrapText="1"/>
    </xf>
    <xf numFmtId="0" fontId="0" fillId="0" borderId="17" xfId="0" applyBorder="1" applyAlignment="1">
      <alignment horizontal="left" vertical="top" wrapText="1"/>
    </xf>
    <xf numFmtId="3" fontId="60" fillId="0" borderId="17" xfId="0" applyNumberFormat="1" applyFont="1" applyBorder="1" applyAlignment="1">
      <alignment horizontal="left" vertical="top" wrapText="1"/>
    </xf>
    <xf numFmtId="3" fontId="0" fillId="0" borderId="17" xfId="0" applyNumberFormat="1" applyFont="1" applyBorder="1" applyAlignment="1">
      <alignment horizontal="left" vertical="top" wrapText="1"/>
    </xf>
    <xf numFmtId="0" fontId="3" fillId="0" borderId="17" xfId="0" applyFont="1" applyBorder="1" applyAlignment="1">
      <alignment horizontal="left" vertical="top" wrapText="1"/>
    </xf>
    <xf numFmtId="0" fontId="0" fillId="0" borderId="0" xfId="0" applyBorder="1" applyAlignment="1">
      <alignment horizontal="left" vertical="top" wrapText="1"/>
    </xf>
  </cellXfs>
  <cellStyles count="158">
    <cellStyle name="20% - Accent1 2" xfId="24"/>
    <cellStyle name="20% - Accent1 2 2" xfId="84"/>
    <cellStyle name="20% - Accent2 2" xfId="25"/>
    <cellStyle name="20% - Accent2 2 2" xfId="85"/>
    <cellStyle name="20% - Accent3 2" xfId="26"/>
    <cellStyle name="20% - Accent3 2 2" xfId="86"/>
    <cellStyle name="20% - Accent4 2" xfId="27"/>
    <cellStyle name="20% - Accent4 2 2" xfId="87"/>
    <cellStyle name="20% - Accent5 2" xfId="28"/>
    <cellStyle name="20% - Accent5 2 2" xfId="88"/>
    <cellStyle name="20% - Accent6 2" xfId="29"/>
    <cellStyle name="20% - Accent6 2 2" xfId="89"/>
    <cellStyle name="40% - Accent1 2" xfId="30"/>
    <cellStyle name="40% - Accent1 2 2" xfId="90"/>
    <cellStyle name="40% - Accent2 2" xfId="31"/>
    <cellStyle name="40% - Accent2 2 2" xfId="91"/>
    <cellStyle name="40% - Accent3 2" xfId="32"/>
    <cellStyle name="40% - Accent3 2 2" xfId="92"/>
    <cellStyle name="40% - Accent4 2" xfId="33"/>
    <cellStyle name="40% - Accent4 2 2" xfId="93"/>
    <cellStyle name="40% - Accent5 2" xfId="34"/>
    <cellStyle name="40% - Accent5 2 2" xfId="94"/>
    <cellStyle name="40% - Accent6 2" xfId="35"/>
    <cellStyle name="40% - Accent6 2 2" xfId="95"/>
    <cellStyle name="60% - Accent1 2" xfId="36"/>
    <cellStyle name="60% - Accent1 2 2" xfId="96"/>
    <cellStyle name="60% - Accent2 2" xfId="37"/>
    <cellStyle name="60% - Accent2 2 2" xfId="97"/>
    <cellStyle name="60% - Accent3 2" xfId="38"/>
    <cellStyle name="60% - Accent3 2 2" xfId="98"/>
    <cellStyle name="60% - Accent4 2" xfId="39"/>
    <cellStyle name="60% - Accent4 2 2" xfId="99"/>
    <cellStyle name="60% - Accent5 2" xfId="40"/>
    <cellStyle name="60% - Accent5 2 2" xfId="100"/>
    <cellStyle name="60% - Accent6 2" xfId="41"/>
    <cellStyle name="60% - Accent6 2 2" xfId="101"/>
    <cellStyle name="Accent1 2" xfId="42"/>
    <cellStyle name="Accent1 2 2" xfId="102"/>
    <cellStyle name="Accent2 2" xfId="43"/>
    <cellStyle name="Accent2 2 2" xfId="103"/>
    <cellStyle name="Accent3 2" xfId="44"/>
    <cellStyle name="Accent3 2 2" xfId="104"/>
    <cellStyle name="Accent4 2" xfId="45"/>
    <cellStyle name="Accent4 2 2" xfId="105"/>
    <cellStyle name="Accent5 2" xfId="46"/>
    <cellStyle name="Accent5 2 2" xfId="106"/>
    <cellStyle name="Accent6 2" xfId="47"/>
    <cellStyle name="Accent6 2 2" xfId="107"/>
    <cellStyle name="Bad 2" xfId="48"/>
    <cellStyle name="Bad 2 2" xfId="108"/>
    <cellStyle name="Calculation 2" xfId="49"/>
    <cellStyle name="Calculation 2 2" xfId="109"/>
    <cellStyle name="Check Cell 2" xfId="50"/>
    <cellStyle name="Check Cell 2 2" xfId="110"/>
    <cellStyle name="Comma" xfId="1" builtinId="3"/>
    <cellStyle name="Comma [0] 2" xfId="154"/>
    <cellStyle name="Comma 2" xfId="22"/>
    <cellStyle name="Comma 2 2" xfId="67"/>
    <cellStyle name="Comma 2 2 2" xfId="139"/>
    <cellStyle name="Comma 2 3" xfId="76"/>
    <cellStyle name="Comma 2 3 2" xfId="146"/>
    <cellStyle name="Comma 2 4" xfId="111"/>
    <cellStyle name="Comma 3" xfId="69"/>
    <cellStyle name="Comma 3 2" xfId="77"/>
    <cellStyle name="Comma 3 2 2" xfId="147"/>
    <cellStyle name="Comma 3 3" xfId="140"/>
    <cellStyle name="Comma 4" xfId="65"/>
    <cellStyle name="Comma 5" xfId="62"/>
    <cellStyle name="Currency" xfId="2" builtinId="4"/>
    <cellStyle name="Currency 2" xfId="70"/>
    <cellStyle name="Currency 2 2" xfId="78"/>
    <cellStyle name="Currency 2 2 2" xfId="148"/>
    <cellStyle name="Currency 2 3" xfId="141"/>
    <cellStyle name="Currency 3" xfId="16"/>
    <cellStyle name="Excel Built-in Comma" xfId="17"/>
    <cellStyle name="Excel Built-in Comma 2" xfId="112"/>
    <cellStyle name="Excel Built-in Hyperlink" xfId="8"/>
    <cellStyle name="Excel Built-in Hyperlink 1" xfId="114"/>
    <cellStyle name="Excel Built-in Hyperlink 2" xfId="113"/>
    <cellStyle name="Excel Built-in Normal" xfId="7"/>
    <cellStyle name="Excel Built-in Normal 1" xfId="115"/>
    <cellStyle name="Explanatory Text 2" xfId="51"/>
    <cellStyle name="Explanatory Text 2 2" xfId="116"/>
    <cellStyle name="Followed Hyperlink" xfId="52" builtinId="9" customBuiltin="1"/>
    <cellStyle name="Good 2" xfId="53"/>
    <cellStyle name="Good 2 2" xfId="117"/>
    <cellStyle name="Heading" xfId="18"/>
    <cellStyle name="Heading 1" xfId="12" builtinId="16" customBuiltin="1"/>
    <cellStyle name="Heading 1 2" xfId="83"/>
    <cellStyle name="Heading 2" xfId="13" builtinId="17" customBuiltin="1"/>
    <cellStyle name="Heading 3" xfId="14" builtinId="18" customBuiltin="1"/>
    <cellStyle name="Heading 4" xfId="15" builtinId="19" customBuiltin="1"/>
    <cellStyle name="Heading 5" xfId="118"/>
    <cellStyle name="Heading1" xfId="19"/>
    <cellStyle name="Heading1 1" xfId="120"/>
    <cellStyle name="Heading1 2" xfId="119"/>
    <cellStyle name="Hyperlink" xfId="4" builtinId="8"/>
    <cellStyle name="Hyperlink 2" xfId="9"/>
    <cellStyle name="Hyperlink 2 2" xfId="121"/>
    <cellStyle name="Hyperlink 3" xfId="5"/>
    <cellStyle name="Hyperlink 3 2" xfId="122"/>
    <cellStyle name="Hyperlink 3 3" xfId="137"/>
    <cellStyle name="Hyperlink 4" xfId="54"/>
    <cellStyle name="Hyperlink 4 2" xfId="123"/>
    <cellStyle name="Hyperlink 5" xfId="74"/>
    <cellStyle name="Hyperlink 6" xfId="155"/>
    <cellStyle name="Hyperlink 7" xfId="157"/>
    <cellStyle name="Input 2" xfId="55"/>
    <cellStyle name="Input 2 2" xfId="124"/>
    <cellStyle name="Linked Cell 2" xfId="56"/>
    <cellStyle name="Linked Cell 2 2" xfId="125"/>
    <cellStyle name="Neutral 2" xfId="57"/>
    <cellStyle name="Neutral 2 2" xfId="126"/>
    <cellStyle name="Normal" xfId="0" builtinId="0"/>
    <cellStyle name="Normal 2" xfId="10"/>
    <cellStyle name="Normal 2 2" xfId="68"/>
    <cellStyle name="Normal 2 3" xfId="66"/>
    <cellStyle name="Normal 2 3 2" xfId="138"/>
    <cellStyle name="Normal 2 4" xfId="75"/>
    <cellStyle name="Normal 2 4 2" xfId="145"/>
    <cellStyle name="Normal 2 5" xfId="127"/>
    <cellStyle name="Normal 3" xfId="3"/>
    <cellStyle name="Normal 3 2" xfId="71"/>
    <cellStyle name="Normal 3 2 2" xfId="142"/>
    <cellStyle name="Normal 3 3" xfId="79"/>
    <cellStyle name="Normal 3 3 2" xfId="149"/>
    <cellStyle name="Normal 3 4" xfId="6"/>
    <cellStyle name="Normal 4" xfId="23"/>
    <cellStyle name="Normal 4 2" xfId="128"/>
    <cellStyle name="Normal 5" xfId="64"/>
    <cellStyle name="Normal 6" xfId="82"/>
    <cellStyle name="Normal 7" xfId="153"/>
    <cellStyle name="Normal 9" xfId="156"/>
    <cellStyle name="Note 2" xfId="58"/>
    <cellStyle name="Note 2 2" xfId="129"/>
    <cellStyle name="Output 2" xfId="59"/>
    <cellStyle name="Output 2 2" xfId="130"/>
    <cellStyle name="Percent" xfId="152" builtinId="5"/>
    <cellStyle name="Percent 2" xfId="72"/>
    <cellStyle name="Percent 2 2" xfId="80"/>
    <cellStyle name="Percent 2 2 2" xfId="150"/>
    <cellStyle name="Percent 2 3" xfId="143"/>
    <cellStyle name="Percent 3" xfId="73"/>
    <cellStyle name="Percent 3 2" xfId="81"/>
    <cellStyle name="Percent 3 2 2" xfId="151"/>
    <cellStyle name="Percent 3 3" xfId="144"/>
    <cellStyle name="Percent 4" xfId="63"/>
    <cellStyle name="Result" xfId="20"/>
    <cellStyle name="Result 1" xfId="132"/>
    <cellStyle name="Result 2" xfId="131"/>
    <cellStyle name="Result2" xfId="21"/>
    <cellStyle name="Result2 1" xfId="134"/>
    <cellStyle name="Result2 2" xfId="133"/>
    <cellStyle name="Title" xfId="11" builtinId="15" customBuiltin="1"/>
    <cellStyle name="Total 2" xfId="60"/>
    <cellStyle name="Total 2 2" xfId="135"/>
    <cellStyle name="Warning Text 2" xfId="61"/>
    <cellStyle name="Warning Text 2 2" xfId="136"/>
  </cellStyles>
  <dxfs count="121">
    <dxf>
      <font>
        <b val="0"/>
        <i val="0"/>
        <strike val="0"/>
        <condense val="0"/>
        <extend val="0"/>
        <outline val="0"/>
        <shadow val="0"/>
        <u val="none"/>
        <vertAlign val="baseline"/>
        <sz val="14"/>
        <color theme="1"/>
        <name val="Calibri"/>
        <family val="2"/>
        <scheme val="minor"/>
      </font>
      <fill>
        <patternFill patternType="solid">
          <fgColor indexed="64"/>
          <bgColor theme="4"/>
        </patternFill>
      </fill>
      <alignment horizontal="right" vertical="center" textRotation="0" wrapText="0" indent="0" justifyLastLine="0" shrinkToFit="0" readingOrder="0"/>
    </dxf>
    <dxf>
      <font>
        <b val="0"/>
        <i val="0"/>
        <strike val="0"/>
        <condense val="0"/>
        <extend val="0"/>
        <outline val="0"/>
        <shadow val="0"/>
        <u val="none"/>
        <vertAlign val="baseline"/>
        <sz val="14"/>
        <color auto="1"/>
        <name val="Calibri"/>
        <family val="2"/>
        <scheme val="minor"/>
      </font>
      <numFmt numFmtId="1" formatCode="0"/>
      <fill>
        <patternFill patternType="solid">
          <fgColor indexed="64"/>
          <bgColor theme="4"/>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auto="1"/>
        <name val="Calibri"/>
        <family val="2"/>
        <scheme val="minor"/>
      </font>
      <numFmt numFmtId="1" formatCode="0"/>
      <fill>
        <patternFill patternType="solid">
          <fgColor indexed="64"/>
          <bgColor theme="4"/>
        </patternFill>
      </fill>
      <alignment horizontal="right"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numFmt numFmtId="1" formatCode="0"/>
      <fill>
        <patternFill patternType="solid">
          <fgColor indexed="64"/>
          <bgColor theme="4"/>
        </patternFill>
      </fill>
      <alignment horizontal="right"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numFmt numFmtId="2" formatCode="0.00"/>
      <fill>
        <patternFill patternType="solid">
          <fgColor indexed="64"/>
          <bgColor theme="4"/>
        </patternFill>
      </fill>
      <alignment horizontal="right"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numFmt numFmtId="1" formatCode="0"/>
      <fill>
        <patternFill patternType="solid">
          <fgColor indexed="64"/>
          <bgColor theme="4"/>
        </patternFill>
      </fill>
      <alignment horizontal="right" vertical="center" textRotation="0" wrapText="1" indent="0" justifyLastLine="0" shrinkToFit="0" readingOrder="0"/>
    </dxf>
    <dxf>
      <font>
        <b val="0"/>
        <i val="0"/>
        <strike val="0"/>
        <condense val="0"/>
        <extend val="0"/>
        <outline val="0"/>
        <shadow val="0"/>
        <u val="none"/>
        <vertAlign val="baseline"/>
        <sz val="14"/>
        <color theme="1"/>
        <name val="Calibri"/>
        <family val="2"/>
        <scheme val="minor"/>
      </font>
      <fill>
        <patternFill patternType="solid">
          <fgColor indexed="64"/>
          <bgColor theme="4"/>
        </patternFill>
      </fill>
      <alignment horizontal="left"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numFmt numFmtId="19" formatCode="m/d/yyyy"/>
      <fill>
        <patternFill patternType="solid">
          <fgColor indexed="64"/>
          <bgColor theme="4"/>
        </patternFill>
      </fill>
      <alignment horizontal="left" vertical="top"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auto="1"/>
        <name val="Calibri"/>
        <family val="2"/>
        <scheme val="minor"/>
      </font>
      <numFmt numFmtId="19" formatCode="m/d/yyyy"/>
      <fill>
        <patternFill patternType="solid">
          <fgColor indexed="64"/>
          <bgColor theme="4"/>
        </patternFill>
      </fill>
      <alignment horizontal="right"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minor"/>
      </font>
      <fill>
        <patternFill patternType="solid">
          <fgColor indexed="64"/>
          <bgColor theme="4"/>
        </patternFill>
      </fill>
      <alignment horizontal="general"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fill>
        <patternFill patternType="solid">
          <fgColor indexed="64"/>
          <bgColor theme="4"/>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4"/>
        <color auto="1"/>
        <name val="Calibri"/>
        <family val="2"/>
        <scheme val="minor"/>
      </font>
      <fill>
        <patternFill patternType="solid">
          <fgColor indexed="64"/>
          <bgColor theme="4"/>
        </patternFill>
      </fill>
      <alignment horizontal="general" vertical="center" textRotation="0" wrapText="1" indent="0" justifyLastLine="0" shrinkToFit="0" readingOrder="0"/>
      <protection locked="1" hidden="0"/>
    </dxf>
    <dxf>
      <font>
        <b val="0"/>
        <i val="0"/>
        <strike val="0"/>
        <condense val="0"/>
        <extend val="0"/>
        <outline val="0"/>
        <shadow val="0"/>
        <u/>
        <vertAlign val="baseline"/>
        <sz val="14"/>
        <color indexed="12"/>
        <name val="Calibri"/>
        <family val="2"/>
        <scheme val="minor"/>
      </font>
      <fill>
        <patternFill patternType="solid">
          <fgColor indexed="64"/>
          <bgColor theme="4"/>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4"/>
        <color theme="1"/>
        <name val="Calibri"/>
        <family val="2"/>
        <scheme val="minor"/>
      </font>
      <fill>
        <patternFill patternType="solid">
          <fgColor indexed="64"/>
          <bgColor theme="4"/>
        </patternFill>
      </fill>
      <alignment horizontal="left" vertical="center" textRotation="0" wrapText="1" indent="0" justifyLastLine="0" shrinkToFit="0" readingOrder="0"/>
    </dxf>
    <dxf>
      <font>
        <b val="0"/>
        <i val="0"/>
        <strike val="0"/>
        <condense val="0"/>
        <extend val="0"/>
        <outline val="0"/>
        <shadow val="0"/>
        <u val="none"/>
        <vertAlign val="baseline"/>
        <sz val="14"/>
        <color theme="1"/>
        <name val="Calibri"/>
        <family val="2"/>
        <scheme val="minor"/>
      </font>
      <fill>
        <patternFill patternType="solid">
          <fgColor indexed="64"/>
          <bgColor theme="4"/>
        </patternFill>
      </fill>
      <alignment horizontal="left" vertical="center" textRotation="0" wrapText="1" indent="0" justifyLastLine="0" shrinkToFit="0" readingOrder="0"/>
    </dxf>
    <dxf>
      <font>
        <b val="0"/>
        <i val="0"/>
        <strike val="0"/>
        <condense val="0"/>
        <extend val="0"/>
        <outline val="0"/>
        <shadow val="0"/>
        <u val="none"/>
        <vertAlign val="baseline"/>
        <sz val="14"/>
        <color theme="1"/>
        <name val="Calibri"/>
        <family val="2"/>
        <scheme val="minor"/>
      </font>
      <numFmt numFmtId="167" formatCode="&quot;$&quot;#,##0.00"/>
      <fill>
        <patternFill patternType="solid">
          <fgColor indexed="64"/>
          <bgColor theme="4"/>
        </patternFill>
      </fill>
      <alignment horizontal="right" vertical="center" textRotation="0" wrapText="0" indent="0" justifyLastLine="0" shrinkToFit="0" readingOrder="0"/>
    </dxf>
    <dxf>
      <font>
        <b val="0"/>
        <i val="0"/>
        <strike val="0"/>
        <condense val="0"/>
        <extend val="0"/>
        <outline val="0"/>
        <shadow val="0"/>
        <u val="none"/>
        <vertAlign val="baseline"/>
        <sz val="14"/>
        <color auto="1"/>
        <name val="Calibri"/>
        <family val="2"/>
        <scheme val="minor"/>
      </font>
      <numFmt numFmtId="0" formatCode="General"/>
      <fill>
        <patternFill patternType="solid">
          <fgColor indexed="64"/>
          <bgColor theme="4"/>
        </patternFill>
      </fill>
      <alignment horizontal="left"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auto="1"/>
        <name val="Calibri"/>
        <family val="2"/>
        <scheme val="minor"/>
      </font>
      <numFmt numFmtId="0" formatCode="General"/>
      <fill>
        <patternFill patternType="solid">
          <fgColor indexed="64"/>
          <bgColor theme="4"/>
        </patternFill>
      </fill>
      <alignment horizontal="left"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minor"/>
      </font>
      <fill>
        <patternFill patternType="solid">
          <fgColor indexed="64"/>
          <bgColor theme="4"/>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ertAlign val="baseline"/>
        <sz val="10"/>
        <color indexed="12"/>
        <name val="Verdana"/>
        <family val="2"/>
        <scheme val="none"/>
      </font>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bottom"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family val="2"/>
        <scheme val="minor"/>
      </font>
      <numFmt numFmtId="175" formatCode="[$-F800]dddd\,\ mmmm\ dd\,\ yyyy"/>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dxf>
    <dxf>
      <font>
        <b val="0"/>
        <i val="0"/>
        <strike val="0"/>
        <condense val="0"/>
        <extend val="0"/>
        <outline val="0"/>
        <shadow val="0"/>
        <u/>
        <vertAlign val="baseline"/>
        <sz val="10"/>
        <color indexed="12"/>
        <name val="Verdana"/>
        <family val="2"/>
        <scheme val="none"/>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family val="2"/>
        <scheme val="minor"/>
      </font>
      <numFmt numFmtId="172" formatCode="&quot;$&quot;#,##0"/>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numFmt numFmtId="164" formatCode="_(* #,##0_);_(* \(#,##0\);_(* &quot;-&quot;??_);_(@_)"/>
    </dxf>
    <dxf>
      <numFmt numFmtId="164" formatCode="_(* #,##0_);_(* \(#,##0\);_(* &quot;-&quot;??_);_(@_)"/>
    </dxf>
    <dxf>
      <numFmt numFmtId="164" formatCode="_(* #,##0_);_(* \(#,##0\);_(* &quot;-&quot;??_);_(@_)"/>
    </dxf>
    <dxf>
      <numFmt numFmtId="172" formatCode="&quot;$&quot;#,##0"/>
    </dxf>
    <dxf>
      <numFmt numFmtId="172" formatCode="&quot;$&quot;#,##0"/>
    </dxf>
    <dxf>
      <alignment horizontal="general" vertical="bottom" textRotation="0" wrapText="1" indent="0" justifyLastLine="0" shrinkToFit="0" readingOrder="0"/>
    </dxf>
    <dxf>
      <numFmt numFmtId="172" formatCode="&quot;$&quot;#,##0"/>
    </dxf>
    <dxf>
      <numFmt numFmtId="172" formatCode="&quot;$&quot;#,##0"/>
    </dxf>
    <dxf>
      <alignment wrapText="1" readingOrder="0"/>
    </dxf>
    <dxf>
      <alignment wrapText="1" readingOrder="0"/>
    </dxf>
    <dxf>
      <numFmt numFmtId="174" formatCode="_(&quot;$&quot;* #,##0_);_(&quot;$&quot;* \(#,##0\);_(&quot;$&quot;* &quot;-&quot;??_);_(@_)"/>
    </dxf>
    <dxf>
      <alignment wrapText="1" readingOrder="0"/>
    </dxf>
    <dxf>
      <alignment wrapText="1" readingOrder="0"/>
    </dxf>
    <dxf>
      <numFmt numFmtId="174" formatCode="_(&quot;$&quot;* #,##0_);_(&quot;$&quot;* \(#,##0\);_(&quot;$&quot;* &quot;-&quot;??_);_(@_)"/>
    </dxf>
    <dxf>
      <alignment wrapText="1" readingOrder="0"/>
    </dxf>
    <dxf>
      <alignment wrapText="1" readingOrder="0"/>
    </dxf>
    <dxf>
      <font>
        <b val="0"/>
      </font>
      <alignment horizontal="right" vertical="center" textRotation="0" indent="0" justifyLastLine="0" shrinkToFit="0" readingOrder="0"/>
    </dxf>
    <dxf>
      <font>
        <b val="0"/>
      </font>
      <alignment horizontal="left" vertical="center" textRotation="0" indent="0" justifyLastLine="0" shrinkToFit="0" readingOrder="0"/>
    </dxf>
    <dxf>
      <font>
        <b val="0"/>
      </font>
      <alignment horizontal="right" vertical="center" textRotation="0" indent="0" justifyLastLine="0" shrinkToFit="0" readingOrder="0"/>
    </dxf>
    <dxf>
      <font>
        <b val="0"/>
      </font>
      <alignment horizontal="right" vertical="center" textRotation="0" indent="0" justifyLastLine="0" shrinkToFit="0" readingOrder="0"/>
    </dxf>
    <dxf>
      <font>
        <b val="0"/>
      </font>
      <alignment horizontal="right" vertical="center" textRotation="0" indent="0" justifyLastLine="0" shrinkToFit="0" readingOrder="0"/>
    </dxf>
    <dxf>
      <font>
        <b val="0"/>
      </font>
      <alignment horizontal="right" vertical="center" textRotation="0" indent="0" justifyLastLine="0" shrinkToFit="0" readingOrder="0"/>
    </dxf>
    <dxf>
      <font>
        <b val="0"/>
      </font>
      <alignment horizontal="left" vertical="center" textRotation="0" indent="0" justifyLastLine="0" shrinkToFit="0" readingOrder="0"/>
    </dxf>
    <dxf>
      <font>
        <b val="0"/>
      </font>
      <alignment horizontal="left" vertical="top" textRotation="0" indent="0" justifyLastLine="0" shrinkToFit="0" readingOrder="0"/>
    </dxf>
    <dxf>
      <font>
        <b val="0"/>
      </font>
      <alignment vertical="center" textRotation="0" indent="0" justifyLastLine="0" shrinkToFit="0" readingOrder="0"/>
    </dxf>
    <dxf>
      <font>
        <b val="0"/>
      </font>
      <alignment vertical="center" textRotation="0" indent="0" justifyLastLine="0" shrinkToFit="0" readingOrder="0"/>
    </dxf>
    <dxf>
      <font>
        <b val="0"/>
      </font>
      <alignment horizontal="center" vertical="center" textRotation="0" wrapText="1" indent="0" justifyLastLine="0" shrinkToFit="0" readingOrder="0"/>
    </dxf>
    <dxf>
      <font>
        <b val="0"/>
      </font>
      <alignment vertical="center" textRotation="0" indent="0" justifyLastLine="0" shrinkToFit="0" readingOrder="0"/>
    </dxf>
    <dxf>
      <font>
        <b val="0"/>
      </font>
      <alignment vertical="center" textRotation="0" indent="0" justifyLastLine="0" shrinkToFit="0" readingOrder="0"/>
    </dxf>
    <dxf>
      <font>
        <b val="0"/>
      </font>
      <alignment horizontal="left" vertical="center" textRotation="0" indent="0" justifyLastLine="0" shrinkToFit="0" readingOrder="0"/>
    </dxf>
    <dxf>
      <font>
        <b val="0"/>
      </font>
      <alignment horizontal="left" vertical="center" textRotation="0" indent="0" justifyLastLine="0" shrinkToFit="0" readingOrder="0"/>
    </dxf>
    <dxf>
      <font>
        <b val="0"/>
      </font>
      <numFmt numFmtId="167" formatCode="&quot;$&quot;#,##0.00"/>
      <alignment horizontal="right" vertical="center" textRotation="0" indent="0" justifyLastLine="0" shrinkToFit="0" readingOrder="0"/>
    </dxf>
    <dxf>
      <font>
        <b val="0"/>
      </font>
      <alignment horizontal="left" vertical="center" textRotation="0" indent="0" justifyLastLine="0" shrinkToFit="0" readingOrder="0"/>
    </dxf>
    <dxf>
      <font>
        <b val="0"/>
      </font>
      <alignment horizontal="left" vertical="center" textRotation="0" indent="0" justifyLastLine="0" shrinkToFit="0" readingOrder="0"/>
    </dxf>
    <dxf>
      <font>
        <b val="0"/>
      </font>
      <alignment horizontal="left" vertical="center" textRotation="0" indent="0" justifyLastLine="0" shrinkToFit="0" readingOrder="0"/>
    </dxf>
    <dxf>
      <font>
        <strike val="0"/>
        <outline val="0"/>
        <shadow val="0"/>
        <vertAlign val="baseline"/>
        <sz val="14"/>
        <name val="Calibri"/>
        <scheme val="minor"/>
      </font>
      <fill>
        <patternFill patternType="solid">
          <fgColor indexed="64"/>
          <bgColor theme="4"/>
        </patternFill>
      </fill>
      <alignment vertical="center" textRotation="0" indent="0" justifyLastLine="0" shrinkToFit="0" readingOrder="0"/>
    </dxf>
    <dxf>
      <font>
        <strike val="0"/>
        <outline val="0"/>
        <shadow val="0"/>
        <vertAlign val="baseline"/>
        <sz val="11"/>
        <name val="Calibri"/>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4"/>
        <name val="Calibri"/>
        <scheme val="minor"/>
      </font>
      <alignment vertical="center" textRotation="0" indent="0" justifyLastLine="0" shrinkToFit="0" readingOrder="0"/>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protection locked="1" hidden="0"/>
    </dxf>
    <dxf>
      <font>
        <b val="0"/>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right" vertical="bottom" textRotation="0" wrapText="1" indent="0" justifyLastLine="0" shrinkToFit="0" readingOrder="0"/>
    </dxf>
    <dxf>
      <font>
        <b val="0"/>
        <strike val="0"/>
        <outline val="0"/>
        <shadow val="0"/>
        <vertAlign val="baseline"/>
        <sz val="11"/>
        <name val="Calibri"/>
        <scheme val="minor"/>
      </font>
      <fill>
        <patternFill patternType="none">
          <fgColor indexed="64"/>
          <bgColor auto="1"/>
        </patternFill>
      </fill>
      <alignment horizontal="left" vertical="center" textRotation="0" wrapText="1" indent="0" justifyLastLine="0" shrinkToFit="0" readingOrder="0"/>
      <protection locked="1" hidden="0"/>
    </dxf>
    <dxf>
      <font>
        <b val="0"/>
        <strike val="0"/>
        <outline val="0"/>
        <shadow val="0"/>
        <vertAlign val="baseline"/>
        <sz val="11"/>
        <name val="Calibri"/>
        <scheme val="minor"/>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75" formatCode="[$-F800]dddd\,\ mmmm\ dd\,\ yyyy"/>
      <fill>
        <patternFill patternType="none">
          <fgColor indexed="64"/>
          <bgColor auto="1"/>
        </patternFill>
      </fill>
      <alignment horizontal="center" vertical="center" textRotation="0" wrapText="1" indent="0" justifyLastLine="0" shrinkToFit="0" readingOrder="0"/>
    </dxf>
    <dxf>
      <font>
        <b val="0"/>
        <strike val="0"/>
        <outline val="0"/>
        <shadow val="0"/>
        <vertAlign val="baseline"/>
        <sz val="11"/>
        <name val="Calibri"/>
        <scheme val="minor"/>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font>
        <b val="0"/>
        <strike val="0"/>
        <outline val="0"/>
        <shadow val="0"/>
        <vertAlign val="baseline"/>
        <sz val="11"/>
        <name val="Calibri"/>
        <scheme val="minor"/>
      </font>
      <fill>
        <patternFill patternType="none">
          <bgColor auto="1"/>
        </patternFill>
      </fill>
      <alignment horizontal="center" vertical="center" textRotation="0" wrapText="1" indent="0" justifyLastLine="0" shrinkToFit="0" readingOrder="0"/>
    </dxf>
    <dxf>
      <font>
        <b val="0"/>
        <strike val="0"/>
        <outline val="0"/>
        <shadow val="0"/>
        <vertAlign val="baseline"/>
        <sz val="11"/>
        <name val="Calibri"/>
        <scheme val="minor"/>
      </font>
      <fill>
        <patternFill patternType="none">
          <fgColor indexed="64"/>
          <bgColor auto="1"/>
        </patternFill>
      </fill>
      <alignment horizontal="left" vertical="center" textRotation="0" wrapText="1" indent="0" justifyLastLine="0" shrinkToFit="0" readingOrder="0"/>
      <protection locked="1" hidden="0"/>
    </dxf>
    <dxf>
      <font>
        <b val="0"/>
        <strike val="0"/>
        <outline val="0"/>
        <shadow val="0"/>
        <vertAlign val="baseline"/>
        <sz val="11"/>
        <name val="Calibri"/>
        <scheme val="minor"/>
      </font>
      <fill>
        <patternFill patternType="none">
          <bgColor auto="1"/>
        </patternFill>
      </fill>
      <alignment horizontal="center" vertical="center" textRotation="0" wrapText="1" indent="0" justifyLastLine="0" shrinkToFit="0" readingOrder="0"/>
    </dxf>
    <dxf>
      <font>
        <b val="0"/>
        <strike val="0"/>
        <outline val="0"/>
        <shadow val="0"/>
        <vertAlign val="baseline"/>
        <sz val="11"/>
        <name val="Calibri"/>
        <scheme val="minor"/>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72"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dxf>
    <dxf>
      <font>
        <b val="0"/>
        <strike val="0"/>
        <outline val="0"/>
        <shadow val="0"/>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dxf>
    <dxf>
      <font>
        <b val="0"/>
        <strike val="0"/>
        <outline val="0"/>
        <shadow val="0"/>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dxf>
    <dxf>
      <border>
        <bottom style="thin">
          <color indexed="64"/>
        </bottom>
      </border>
    </dxf>
    <dxf>
      <font>
        <strike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34"/>
          <bgColor indexed="13"/>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[international-coal-finance-database-201611.xlsx]GCountryBar!PivotTable1</c:name>
    <c:fmtId val="7"/>
  </c:pivotSource>
  <c:chart>
    <c:title>
      <c:tx>
        <c:rich>
          <a:bodyPr/>
          <a:lstStyle/>
          <a:p>
            <a:pPr>
              <a:defRPr/>
            </a:pPr>
            <a:r>
              <a:rPr lang="en-US"/>
              <a:t>Cumulative Coal</a:t>
            </a:r>
            <a:r>
              <a:rPr lang="en-US" baseline="0"/>
              <a:t> Finance by Country 2007-2015</a:t>
            </a:r>
          </a:p>
        </c:rich>
      </c:tx>
      <c:layout>
        <c:manualLayout>
          <c:xMode val="edge"/>
          <c:yMode val="edge"/>
          <c:x val="0.11740566240695323"/>
          <c:y val="3.6799030711994793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s>
    <c:plotArea>
      <c:layout>
        <c:manualLayout>
          <c:layoutTarget val="inner"/>
          <c:xMode val="edge"/>
          <c:yMode val="edge"/>
          <c:x val="0.12421023191773159"/>
          <c:y val="0.23231230552282567"/>
          <c:w val="0.84309464034387005"/>
          <c:h val="0.55660110031838206"/>
        </c:manualLayout>
      </c:layout>
      <c:barChart>
        <c:barDir val="col"/>
        <c:grouping val="stacked"/>
        <c:varyColors val="0"/>
        <c:ser>
          <c:idx val="0"/>
          <c:order val="0"/>
          <c:tx>
            <c:strRef>
              <c:f>GCountryBar!$K$5</c:f>
              <c:strCache>
                <c:ptCount val="1"/>
                <c:pt idx="0">
                  <c:v>Total</c:v>
                </c:pt>
              </c:strCache>
            </c:strRef>
          </c:tx>
          <c:invertIfNegative val="0"/>
          <c:dLbls>
            <c:delete val="1"/>
          </c:dLbls>
          <c:cat>
            <c:strRef>
              <c:f>GCountryBar!$J$6:$J$26</c:f>
              <c:strCache>
                <c:ptCount val="20"/>
                <c:pt idx="0">
                  <c:v>China</c:v>
                </c:pt>
                <c:pt idx="1">
                  <c:v>Japan</c:v>
                </c:pt>
                <c:pt idx="2">
                  <c:v>Germany</c:v>
                </c:pt>
                <c:pt idx="3">
                  <c:v>South Korea</c:v>
                </c:pt>
                <c:pt idx="4">
                  <c:v>US</c:v>
                </c:pt>
                <c:pt idx="5">
                  <c:v>France</c:v>
                </c:pt>
                <c:pt idx="6">
                  <c:v>Russia</c:v>
                </c:pt>
                <c:pt idx="7">
                  <c:v>UK</c:v>
                </c:pt>
                <c:pt idx="8">
                  <c:v>Italy</c:v>
                </c:pt>
                <c:pt idx="9">
                  <c:v>Australia</c:v>
                </c:pt>
                <c:pt idx="10">
                  <c:v>Canada</c:v>
                </c:pt>
                <c:pt idx="11">
                  <c:v>India</c:v>
                </c:pt>
                <c:pt idx="12">
                  <c:v>South Africa</c:v>
                </c:pt>
                <c:pt idx="13">
                  <c:v>Indonesia</c:v>
                </c:pt>
                <c:pt idx="14">
                  <c:v>Brazil </c:v>
                </c:pt>
                <c:pt idx="15">
                  <c:v>Turkey</c:v>
                </c:pt>
                <c:pt idx="16">
                  <c:v>Argentina</c:v>
                </c:pt>
                <c:pt idx="17">
                  <c:v>Saudi Arabia</c:v>
                </c:pt>
                <c:pt idx="18">
                  <c:v>Mexico</c:v>
                </c:pt>
                <c:pt idx="19">
                  <c:v>Brazil</c:v>
                </c:pt>
              </c:strCache>
            </c:strRef>
          </c:cat>
          <c:val>
            <c:numRef>
              <c:f>GCountryBar!$K$6:$K$26</c:f>
              <c:numCache>
                <c:formatCode>"$"#,##0</c:formatCode>
                <c:ptCount val="20"/>
                <c:pt idx="0">
                  <c:v>24533112105.985718</c:v>
                </c:pt>
                <c:pt idx="1">
                  <c:v>21044194739.059017</c:v>
                </c:pt>
                <c:pt idx="2">
                  <c:v>8846502065.8467388</c:v>
                </c:pt>
                <c:pt idx="3">
                  <c:v>6560656810.3952169</c:v>
                </c:pt>
                <c:pt idx="4">
                  <c:v>2776817319.7206435</c:v>
                </c:pt>
                <c:pt idx="5">
                  <c:v>2757696142.6281834</c:v>
                </c:pt>
                <c:pt idx="6">
                  <c:v>2711487957.4672599</c:v>
                </c:pt>
                <c:pt idx="7">
                  <c:v>2261113130.359201</c:v>
                </c:pt>
                <c:pt idx="8">
                  <c:v>1550899690.1455212</c:v>
                </c:pt>
                <c:pt idx="9">
                  <c:v>813940451.69418132</c:v>
                </c:pt>
                <c:pt idx="10">
                  <c:v>728025292.58243704</c:v>
                </c:pt>
                <c:pt idx="11">
                  <c:v>499033996.28327429</c:v>
                </c:pt>
                <c:pt idx="12">
                  <c:v>381816489.57915545</c:v>
                </c:pt>
                <c:pt idx="13">
                  <c:v>230716376.98232016</c:v>
                </c:pt>
                <c:pt idx="14">
                  <c:v>148080326.58120218</c:v>
                </c:pt>
                <c:pt idx="15">
                  <c:v>132412996.82845719</c:v>
                </c:pt>
                <c:pt idx="16">
                  <c:v>104456795.78876325</c:v>
                </c:pt>
                <c:pt idx="17">
                  <c:v>95183494.25215508</c:v>
                </c:pt>
                <c:pt idx="18">
                  <c:v>60526747.919473656</c:v>
                </c:pt>
                <c:pt idx="19">
                  <c:v>36976198.724620603</c:v>
                </c:pt>
              </c:numCache>
            </c:numRef>
          </c:val>
          <c:extLst>
            <c:ext xmlns:c16="http://schemas.microsoft.com/office/drawing/2014/chart" uri="{C3380CC4-5D6E-409C-BE32-E72D297353CC}">
              <c16:uniqueId val="{00000000-2F73-4DB8-A14F-3CF3CE22118F}"/>
            </c:ext>
          </c:extLst>
        </c:ser>
        <c:dLbls>
          <c:showLegendKey val="0"/>
          <c:showVal val="1"/>
          <c:showCatName val="0"/>
          <c:showSerName val="0"/>
          <c:showPercent val="0"/>
          <c:showBubbleSize val="0"/>
        </c:dLbls>
        <c:gapWidth val="150"/>
        <c:overlap val="100"/>
        <c:axId val="110513536"/>
        <c:axId val="110523520"/>
      </c:barChart>
      <c:catAx>
        <c:axId val="110513536"/>
        <c:scaling>
          <c:orientation val="minMax"/>
        </c:scaling>
        <c:delete val="0"/>
        <c:axPos val="b"/>
        <c:numFmt formatCode="General" sourceLinked="0"/>
        <c:majorTickMark val="out"/>
        <c:minorTickMark val="none"/>
        <c:tickLblPos val="nextTo"/>
        <c:crossAx val="110523520"/>
        <c:crosses val="autoZero"/>
        <c:auto val="1"/>
        <c:lblAlgn val="ctr"/>
        <c:lblOffset val="100"/>
        <c:noMultiLvlLbl val="0"/>
      </c:catAx>
      <c:valAx>
        <c:axId val="110523520"/>
        <c:scaling>
          <c:orientation val="minMax"/>
        </c:scaling>
        <c:delete val="0"/>
        <c:axPos val="l"/>
        <c:majorGridlines/>
        <c:numFmt formatCode="&quot;$&quot;#,##0" sourceLinked="0"/>
        <c:majorTickMark val="out"/>
        <c:minorTickMark val="none"/>
        <c:tickLblPos val="nextTo"/>
        <c:crossAx val="110513536"/>
        <c:crosses val="autoZero"/>
        <c:crossBetween val="between"/>
        <c:dispUnits>
          <c:builtInUnit val="billions"/>
          <c:dispUnitsLbl>
            <c:layout>
              <c:manualLayout>
                <c:xMode val="edge"/>
                <c:yMode val="edge"/>
                <c:x val="9.4612968460909604E-3"/>
                <c:y val="0.35750640225742075"/>
              </c:manualLayout>
            </c:layout>
            <c:tx>
              <c:rich>
                <a:bodyPr/>
                <a:lstStyle/>
                <a:p>
                  <a:pPr>
                    <a:defRPr/>
                  </a:pPr>
                  <a:r>
                    <a:rPr lang="en-US"/>
                    <a:t>Billions USD</a:t>
                  </a:r>
                </a:p>
              </c:rich>
            </c:tx>
          </c:dispUnitsLbl>
        </c:dispUnits>
      </c:valAx>
    </c:plotArea>
    <c:plotVisOnly val="1"/>
    <c:dispBlanksAs val="gap"/>
    <c:showDLblsOverMax val="0"/>
  </c:chart>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[international-coal-finance-database-201611.xlsx]GYearlyCountry!Yearly Country</c:name>
    <c:fmtId val="96"/>
  </c:pivotSource>
  <c:chart>
    <c:title>
      <c:tx>
        <c:rich>
          <a:bodyPr/>
          <a:lstStyle/>
          <a:p>
            <a:pPr>
              <a:defRPr/>
            </a:pPr>
            <a:r>
              <a:rPr lang="en-US"/>
              <a:t>Yearly Coal</a:t>
            </a:r>
            <a:r>
              <a:rPr lang="en-US" baseline="0"/>
              <a:t> Finance by Country 2007-2015</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pivotFmt>
      <c:pivotFmt>
        <c:idx val="57"/>
        <c:marker>
          <c:symbol val="none"/>
        </c:marker>
      </c:pivotFmt>
      <c:pivotFmt>
        <c:idx val="58"/>
        <c:marker>
          <c:symbol val="none"/>
        </c:marker>
      </c:pivotFmt>
      <c:pivotFmt>
        <c:idx val="59"/>
        <c:marker>
          <c:symbol val="none"/>
        </c:marker>
      </c:pivotFmt>
      <c:pivotFmt>
        <c:idx val="60"/>
        <c:marker>
          <c:symbol val="none"/>
        </c:marker>
      </c:pivotFmt>
      <c:pivotFmt>
        <c:idx val="61"/>
        <c:spPr>
          <a:solidFill>
            <a:srgbClr val="008000"/>
          </a:solidFill>
        </c:spPr>
        <c:marker>
          <c:symbol val="none"/>
        </c:marker>
      </c:pivotFmt>
      <c:pivotFmt>
        <c:idx val="62"/>
        <c:spPr>
          <a:solidFill>
            <a:schemeClr val="accent6"/>
          </a:solidFill>
        </c:spPr>
        <c:marker>
          <c:symbol val="none"/>
        </c:marker>
      </c:pivotFmt>
      <c:pivotFmt>
        <c:idx val="63"/>
        <c:marker>
          <c:symbol val="none"/>
        </c:marker>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pivotFmt>
      <c:pivotFmt>
        <c:idx val="77"/>
        <c:marker>
          <c:symbol val="none"/>
        </c:marker>
      </c:pivotFmt>
      <c:pivotFmt>
        <c:idx val="78"/>
        <c:marker>
          <c:symbol val="none"/>
        </c:marker>
      </c:pivotFmt>
      <c:pivotFmt>
        <c:idx val="79"/>
        <c:marker>
          <c:symbol val="none"/>
        </c:marker>
      </c:pivotFmt>
      <c:pivotFmt>
        <c:idx val="80"/>
        <c:marker>
          <c:symbol val="none"/>
        </c:marker>
      </c:pivotFmt>
      <c:pivotFmt>
        <c:idx val="81"/>
        <c:marker>
          <c:symbol val="none"/>
        </c:marker>
      </c:pivotFmt>
      <c:pivotFmt>
        <c:idx val="82"/>
        <c:marker>
          <c:symbol val="none"/>
        </c:marker>
      </c:pivotFmt>
      <c:pivotFmt>
        <c:idx val="83"/>
        <c:marker>
          <c:symbol val="none"/>
        </c:marker>
      </c:pivotFmt>
      <c:pivotFmt>
        <c:idx val="84"/>
        <c:marker>
          <c:symbol val="none"/>
        </c:marker>
      </c:pivotFmt>
      <c:pivotFmt>
        <c:idx val="85"/>
        <c:marker>
          <c:symbol val="none"/>
        </c:marker>
      </c:pivotFmt>
      <c:pivotFmt>
        <c:idx val="86"/>
        <c:marker>
          <c:symbol val="none"/>
        </c:marker>
      </c:pivotFmt>
      <c:pivotFmt>
        <c:idx val="87"/>
        <c:marker>
          <c:symbol val="none"/>
        </c:marker>
      </c:pivotFmt>
      <c:pivotFmt>
        <c:idx val="88"/>
        <c:marker>
          <c:symbol val="none"/>
        </c:marker>
      </c:pivotFmt>
      <c:pivotFmt>
        <c:idx val="89"/>
        <c:marker>
          <c:symbol val="none"/>
        </c:marker>
      </c:pivotFmt>
      <c:pivotFmt>
        <c:idx val="90"/>
        <c:marker>
          <c:symbol val="none"/>
        </c:marker>
      </c:pivotFmt>
      <c:pivotFmt>
        <c:idx val="91"/>
        <c:marker>
          <c:symbol val="none"/>
        </c:marker>
      </c:pivotFmt>
      <c:pivotFmt>
        <c:idx val="92"/>
        <c:marker>
          <c:symbol val="none"/>
        </c:marker>
      </c:pivotFmt>
      <c:pivotFmt>
        <c:idx val="93"/>
        <c:marker>
          <c:symbol val="none"/>
        </c:marker>
      </c:pivotFmt>
      <c:pivotFmt>
        <c:idx val="94"/>
        <c:marker>
          <c:symbol val="none"/>
        </c:marker>
      </c:pivotFmt>
      <c:pivotFmt>
        <c:idx val="95"/>
        <c:marker>
          <c:symbol val="none"/>
        </c:marker>
      </c:pivotFmt>
      <c:pivotFmt>
        <c:idx val="96"/>
        <c:marker>
          <c:symbol val="none"/>
        </c:marker>
      </c:pivotFmt>
      <c:pivotFmt>
        <c:idx val="97"/>
        <c:marker>
          <c:symbol val="none"/>
        </c:marker>
      </c:pivotFmt>
      <c:pivotFmt>
        <c:idx val="98"/>
        <c:marker>
          <c:symbol val="none"/>
        </c:marker>
      </c:pivotFmt>
      <c:pivotFmt>
        <c:idx val="99"/>
        <c:marker>
          <c:symbol val="none"/>
        </c:marker>
      </c:pivotFmt>
      <c:pivotFmt>
        <c:idx val="100"/>
        <c:marker>
          <c:symbol val="none"/>
        </c:marker>
      </c:pivotFmt>
      <c:pivotFmt>
        <c:idx val="101"/>
        <c:marker>
          <c:symbol val="none"/>
        </c:marker>
      </c:pivotFmt>
      <c:pivotFmt>
        <c:idx val="102"/>
        <c:marker>
          <c:symbol val="none"/>
        </c:marker>
      </c:pivotFmt>
      <c:pivotFmt>
        <c:idx val="103"/>
        <c:marker>
          <c:symbol val="none"/>
        </c:marker>
      </c:pivotFmt>
      <c:pivotFmt>
        <c:idx val="104"/>
        <c:marker>
          <c:symbol val="none"/>
        </c:marker>
      </c:pivotFmt>
      <c:pivotFmt>
        <c:idx val="105"/>
        <c:marker>
          <c:symbol val="none"/>
        </c:marker>
      </c:pivotFmt>
      <c:pivotFmt>
        <c:idx val="106"/>
        <c:marker>
          <c:symbol val="none"/>
        </c:marker>
      </c:pivotFmt>
      <c:pivotFmt>
        <c:idx val="107"/>
        <c:marker>
          <c:symbol val="none"/>
        </c:marker>
      </c:pivotFmt>
      <c:pivotFmt>
        <c:idx val="108"/>
        <c:marker>
          <c:symbol val="none"/>
        </c:marker>
      </c:pivotFmt>
      <c:pivotFmt>
        <c:idx val="109"/>
        <c:marker>
          <c:symbol val="none"/>
        </c:marker>
      </c:pivotFmt>
      <c:pivotFmt>
        <c:idx val="110"/>
        <c:marker>
          <c:symbol val="none"/>
        </c:marker>
      </c:pivotFmt>
      <c:pivotFmt>
        <c:idx val="111"/>
        <c:marker>
          <c:symbol val="none"/>
        </c:marker>
      </c:pivotFmt>
      <c:pivotFmt>
        <c:idx val="112"/>
        <c:marker>
          <c:symbol val="none"/>
        </c:marker>
      </c:pivotFmt>
    </c:pivotFmts>
    <c:plotArea>
      <c:layout/>
      <c:barChart>
        <c:barDir val="col"/>
        <c:grouping val="stacked"/>
        <c:varyColors val="0"/>
        <c:ser>
          <c:idx val="0"/>
          <c:order val="0"/>
          <c:tx>
            <c:strRef>
              <c:f>GYearlyCountry!$L$3:$L$4</c:f>
              <c:strCache>
                <c:ptCount val="1"/>
                <c:pt idx="0">
                  <c:v>China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GYearlyCountry!$L$5:$L$14</c:f>
              <c:numCache>
                <c:formatCode>"$"#,##0</c:formatCode>
                <c:ptCount val="9"/>
                <c:pt idx="0">
                  <c:v>282615789.30352288</c:v>
                </c:pt>
                <c:pt idx="1">
                  <c:v>155415689.71758109</c:v>
                </c:pt>
                <c:pt idx="2">
                  <c:v>2915524963.0427141</c:v>
                </c:pt>
                <c:pt idx="3">
                  <c:v>2573158666.6666665</c:v>
                </c:pt>
                <c:pt idx="4">
                  <c:v>358953607.97725952</c:v>
                </c:pt>
                <c:pt idx="5">
                  <c:v>5910600923.6745558</c:v>
                </c:pt>
                <c:pt idx="6">
                  <c:v>4471211247.6594467</c:v>
                </c:pt>
                <c:pt idx="7">
                  <c:v>2244093231.6300707</c:v>
                </c:pt>
                <c:pt idx="8">
                  <c:v>5621537986.3139038</c:v>
                </c:pt>
              </c:numCache>
            </c:numRef>
          </c:val>
          <c:extLst>
            <c:ext xmlns:c16="http://schemas.microsoft.com/office/drawing/2014/chart" uri="{C3380CC4-5D6E-409C-BE32-E72D297353CC}">
              <c16:uniqueId val="{00000000-F195-40FD-BE94-C20C8745C4DC}"/>
            </c:ext>
          </c:extLst>
        </c:ser>
        <c:ser>
          <c:idx val="1"/>
          <c:order val="1"/>
          <c:tx>
            <c:strRef>
              <c:f>GYearlyCountry!$M$3:$M$4</c:f>
              <c:strCache>
                <c:ptCount val="1"/>
                <c:pt idx="0">
                  <c:v>Japan</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GYearlyCountry!$M$5:$M$14</c:f>
              <c:numCache>
                <c:formatCode>"$"#,##0</c:formatCode>
                <c:ptCount val="9"/>
                <c:pt idx="0">
                  <c:v>2638153324.688199</c:v>
                </c:pt>
                <c:pt idx="1">
                  <c:v>1143353738.2178941</c:v>
                </c:pt>
                <c:pt idx="2">
                  <c:v>1410038429.1406665</c:v>
                </c:pt>
                <c:pt idx="3">
                  <c:v>2212390267.4958749</c:v>
                </c:pt>
                <c:pt idx="4">
                  <c:v>1718914022.5332439</c:v>
                </c:pt>
                <c:pt idx="5">
                  <c:v>3416011558.4086218</c:v>
                </c:pt>
                <c:pt idx="6">
                  <c:v>2919963699.9885831</c:v>
                </c:pt>
                <c:pt idx="7">
                  <c:v>3482397217.8106456</c:v>
                </c:pt>
                <c:pt idx="8">
                  <c:v>2102972480.7752841</c:v>
                </c:pt>
              </c:numCache>
            </c:numRef>
          </c:val>
          <c:extLst>
            <c:ext xmlns:c16="http://schemas.microsoft.com/office/drawing/2014/chart" uri="{C3380CC4-5D6E-409C-BE32-E72D297353CC}">
              <c16:uniqueId val="{00000000-3E2F-4693-B6CA-A06692D61F58}"/>
            </c:ext>
          </c:extLst>
        </c:ser>
        <c:ser>
          <c:idx val="2"/>
          <c:order val="2"/>
          <c:tx>
            <c:strRef>
              <c:f>GYearlyCountry!$N$3:$N$4</c:f>
              <c:strCache>
                <c:ptCount val="1"/>
                <c:pt idx="0">
                  <c:v>Germany</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GYearlyCountry!$N$5:$N$14</c:f>
              <c:numCache>
                <c:formatCode>"$"#,##0</c:formatCode>
                <c:ptCount val="9"/>
                <c:pt idx="0">
                  <c:v>407811534.01041031</c:v>
                </c:pt>
                <c:pt idx="1">
                  <c:v>1798920608.5678015</c:v>
                </c:pt>
                <c:pt idx="2">
                  <c:v>1897703249.0521038</c:v>
                </c:pt>
                <c:pt idx="3">
                  <c:v>1242509185.3116152</c:v>
                </c:pt>
                <c:pt idx="4">
                  <c:v>150114195.82542163</c:v>
                </c:pt>
                <c:pt idx="5">
                  <c:v>509763338.97359699</c:v>
                </c:pt>
                <c:pt idx="6">
                  <c:v>2486859627.638073</c:v>
                </c:pt>
                <c:pt idx="7">
                  <c:v>252193375.00532991</c:v>
                </c:pt>
                <c:pt idx="8">
                  <c:v>100626951.46238804</c:v>
                </c:pt>
              </c:numCache>
            </c:numRef>
          </c:val>
          <c:extLst>
            <c:ext xmlns:c16="http://schemas.microsoft.com/office/drawing/2014/chart" uri="{C3380CC4-5D6E-409C-BE32-E72D297353CC}">
              <c16:uniqueId val="{00000001-3E2F-4693-B6CA-A06692D61F58}"/>
            </c:ext>
          </c:extLst>
        </c:ser>
        <c:ser>
          <c:idx val="3"/>
          <c:order val="3"/>
          <c:tx>
            <c:strRef>
              <c:f>GYearlyCountry!$O$3:$O$4</c:f>
              <c:strCache>
                <c:ptCount val="1"/>
                <c:pt idx="0">
                  <c:v>South Korea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GYearlyCountry!$O$5:$O$14</c:f>
              <c:numCache>
                <c:formatCode>"$"#,##0</c:formatCode>
                <c:ptCount val="9"/>
                <c:pt idx="0">
                  <c:v>518630073.89705819</c:v>
                </c:pt>
                <c:pt idx="1">
                  <c:v>626737598.88859463</c:v>
                </c:pt>
                <c:pt idx="2">
                  <c:v>249749739.05760866</c:v>
                </c:pt>
                <c:pt idx="3">
                  <c:v>249203595.05642924</c:v>
                </c:pt>
                <c:pt idx="4">
                  <c:v>1702405414.7364943</c:v>
                </c:pt>
                <c:pt idx="5">
                  <c:v>2095720871.4256406</c:v>
                </c:pt>
                <c:pt idx="6">
                  <c:v>646096829.55740631</c:v>
                </c:pt>
                <c:pt idx="7">
                  <c:v>463793709.92393744</c:v>
                </c:pt>
                <c:pt idx="8">
                  <c:v>8318977.8520493582</c:v>
                </c:pt>
              </c:numCache>
            </c:numRef>
          </c:val>
          <c:extLst>
            <c:ext xmlns:c16="http://schemas.microsoft.com/office/drawing/2014/chart" uri="{C3380CC4-5D6E-409C-BE32-E72D297353CC}">
              <c16:uniqueId val="{00000002-3E2F-4693-B6CA-A06692D61F58}"/>
            </c:ext>
          </c:extLst>
        </c:ser>
        <c:ser>
          <c:idx val="4"/>
          <c:order val="4"/>
          <c:tx>
            <c:strRef>
              <c:f>GYearlyCountry!$P$3:$P$4</c:f>
              <c:strCache>
                <c:ptCount val="1"/>
                <c:pt idx="0">
                  <c:v>United States</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GYearlyCountry!$P$5:$P$14</c:f>
              <c:numCache>
                <c:formatCode>"$"#,##0</c:formatCode>
                <c:ptCount val="9"/>
                <c:pt idx="0">
                  <c:v>93172463.731571689</c:v>
                </c:pt>
                <c:pt idx="1">
                  <c:v>394287054.36934555</c:v>
                </c:pt>
                <c:pt idx="2">
                  <c:v>695574894.01146924</c:v>
                </c:pt>
                <c:pt idx="3">
                  <c:v>79303696.947995052</c:v>
                </c:pt>
                <c:pt idx="4">
                  <c:v>874842131.2961607</c:v>
                </c:pt>
                <c:pt idx="5">
                  <c:v>201076315.00807059</c:v>
                </c:pt>
                <c:pt idx="6">
                  <c:v>148417519.08790463</c:v>
                </c:pt>
                <c:pt idx="7">
                  <c:v>183306353.46729437</c:v>
                </c:pt>
                <c:pt idx="8">
                  <c:v>106836891.80083171</c:v>
                </c:pt>
              </c:numCache>
            </c:numRef>
          </c:val>
          <c:extLst>
            <c:ext xmlns:c16="http://schemas.microsoft.com/office/drawing/2014/chart" uri="{C3380CC4-5D6E-409C-BE32-E72D297353CC}">
              <c16:uniqueId val="{00000003-3E2F-4693-B6CA-A06692D61F58}"/>
            </c:ext>
          </c:extLst>
        </c:ser>
        <c:ser>
          <c:idx val="5"/>
          <c:order val="5"/>
          <c:tx>
            <c:strRef>
              <c:f>GYearlyCountry!$Q$3:$Q$4</c:f>
              <c:strCache>
                <c:ptCount val="1"/>
                <c:pt idx="0">
                  <c:v>France</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GYearlyCountry!$Q$5:$Q$14</c:f>
              <c:numCache>
                <c:formatCode>"$"#,##0</c:formatCode>
                <c:ptCount val="9"/>
                <c:pt idx="0">
                  <c:v>249962725.97785378</c:v>
                </c:pt>
                <c:pt idx="1">
                  <c:v>197165019.29470092</c:v>
                </c:pt>
                <c:pt idx="2">
                  <c:v>981524478.63368845</c:v>
                </c:pt>
                <c:pt idx="3">
                  <c:v>247764699.36626863</c:v>
                </c:pt>
                <c:pt idx="4">
                  <c:v>152607118.328677</c:v>
                </c:pt>
                <c:pt idx="5">
                  <c:v>715768352.78649497</c:v>
                </c:pt>
                <c:pt idx="6">
                  <c:v>106768304.83375546</c:v>
                </c:pt>
                <c:pt idx="7">
                  <c:v>38095064.228359938</c:v>
                </c:pt>
                <c:pt idx="8">
                  <c:v>68040379.178384438</c:v>
                </c:pt>
              </c:numCache>
            </c:numRef>
          </c:val>
          <c:extLst>
            <c:ext xmlns:c16="http://schemas.microsoft.com/office/drawing/2014/chart" uri="{C3380CC4-5D6E-409C-BE32-E72D297353CC}">
              <c16:uniqueId val="{00000004-3E2F-4693-B6CA-A06692D61F58}"/>
            </c:ext>
          </c:extLst>
        </c:ser>
        <c:ser>
          <c:idx val="6"/>
          <c:order val="6"/>
          <c:tx>
            <c:strRef>
              <c:f>GYearlyCountry!$R$3:$R$4</c:f>
              <c:strCache>
                <c:ptCount val="1"/>
                <c:pt idx="0">
                  <c:v>Russia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GYearlyCountry!$R$5:$R$14</c:f>
              <c:numCache>
                <c:formatCode>"$"#,##0</c:formatCode>
                <c:ptCount val="9"/>
                <c:pt idx="0">
                  <c:v>18447922.012884483</c:v>
                </c:pt>
                <c:pt idx="1">
                  <c:v>50942781.944843337</c:v>
                </c:pt>
                <c:pt idx="2">
                  <c:v>53550902.503484726</c:v>
                </c:pt>
                <c:pt idx="3">
                  <c:v>10562266.821642622</c:v>
                </c:pt>
                <c:pt idx="4">
                  <c:v>16481625.586637463</c:v>
                </c:pt>
                <c:pt idx="5">
                  <c:v>5547975.4562270762</c:v>
                </c:pt>
                <c:pt idx="6">
                  <c:v>2501270383.5083776</c:v>
                </c:pt>
                <c:pt idx="7">
                  <c:v>26591909.407580834</c:v>
                </c:pt>
                <c:pt idx="8">
                  <c:v>28092190.225582153</c:v>
                </c:pt>
              </c:numCache>
            </c:numRef>
          </c:val>
          <c:extLst>
            <c:ext xmlns:c16="http://schemas.microsoft.com/office/drawing/2014/chart" uri="{C3380CC4-5D6E-409C-BE32-E72D297353CC}">
              <c16:uniqueId val="{00000005-3E2F-4693-B6CA-A06692D61F58}"/>
            </c:ext>
          </c:extLst>
        </c:ser>
        <c:ser>
          <c:idx val="7"/>
          <c:order val="7"/>
          <c:tx>
            <c:strRef>
              <c:f>GYearlyCountry!$S$3:$S$4</c:f>
              <c:strCache>
                <c:ptCount val="1"/>
                <c:pt idx="0">
                  <c:v>United Kingdom</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GYearlyCountry!$S$5:$S$14</c:f>
              <c:numCache>
                <c:formatCode>"$"#,##0</c:formatCode>
                <c:ptCount val="9"/>
                <c:pt idx="0">
                  <c:v>170355016.38802886</c:v>
                </c:pt>
                <c:pt idx="1">
                  <c:v>297231158.67123061</c:v>
                </c:pt>
                <c:pt idx="2">
                  <c:v>159753285.31732884</c:v>
                </c:pt>
                <c:pt idx="3">
                  <c:v>341499949.36626863</c:v>
                </c:pt>
                <c:pt idx="4">
                  <c:v>513428449.13802648</c:v>
                </c:pt>
                <c:pt idx="5">
                  <c:v>341659535.22502196</c:v>
                </c:pt>
                <c:pt idx="6">
                  <c:v>45567062.575974233</c:v>
                </c:pt>
                <c:pt idx="7">
                  <c:v>350005146.30162692</c:v>
                </c:pt>
                <c:pt idx="8">
                  <c:v>41613527.375694379</c:v>
                </c:pt>
              </c:numCache>
            </c:numRef>
          </c:val>
          <c:extLst>
            <c:ext xmlns:c16="http://schemas.microsoft.com/office/drawing/2014/chart" uri="{C3380CC4-5D6E-409C-BE32-E72D297353CC}">
              <c16:uniqueId val="{00000006-3E2F-4693-B6CA-A06692D61F58}"/>
            </c:ext>
          </c:extLst>
        </c:ser>
        <c:ser>
          <c:idx val="8"/>
          <c:order val="8"/>
          <c:tx>
            <c:strRef>
              <c:f>GYearlyCountry!$T$3:$T$4</c:f>
              <c:strCache>
                <c:ptCount val="1"/>
                <c:pt idx="0">
                  <c:v>Italy</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GYearlyCountry!$T$5:$T$14</c:f>
              <c:numCache>
                <c:formatCode>"$"#,##0</c:formatCode>
                <c:ptCount val="9"/>
                <c:pt idx="0">
                  <c:v>164248378.63829842</c:v>
                </c:pt>
                <c:pt idx="1">
                  <c:v>175215282.61344993</c:v>
                </c:pt>
                <c:pt idx="2">
                  <c:v>156021829.88791552</c:v>
                </c:pt>
                <c:pt idx="3">
                  <c:v>205741349.36626866</c:v>
                </c:pt>
                <c:pt idx="4">
                  <c:v>57839262.294362858</c:v>
                </c:pt>
                <c:pt idx="5">
                  <c:v>8687866.5383760445</c:v>
                </c:pt>
                <c:pt idx="6">
                  <c:v>75522848.169592783</c:v>
                </c:pt>
                <c:pt idx="7">
                  <c:v>25092005.752775427</c:v>
                </c:pt>
                <c:pt idx="8">
                  <c:v>682530866.88448155</c:v>
                </c:pt>
              </c:numCache>
            </c:numRef>
          </c:val>
          <c:extLst>
            <c:ext xmlns:c16="http://schemas.microsoft.com/office/drawing/2014/chart" uri="{C3380CC4-5D6E-409C-BE32-E72D297353CC}">
              <c16:uniqueId val="{00000007-3E2F-4693-B6CA-A06692D61F58}"/>
            </c:ext>
          </c:extLst>
        </c:ser>
        <c:ser>
          <c:idx val="9"/>
          <c:order val="9"/>
          <c:tx>
            <c:strRef>
              <c:f>GYearlyCountry!$U$3:$U$4</c:f>
              <c:strCache>
                <c:ptCount val="1"/>
                <c:pt idx="0">
                  <c:v>Australia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GYearlyCountry!$U$5:$U$14</c:f>
              <c:numCache>
                <c:formatCode>"$"#,##0</c:formatCode>
                <c:ptCount val="9"/>
                <c:pt idx="0">
                  <c:v>9133673.9201742243</c:v>
                </c:pt>
                <c:pt idx="1">
                  <c:v>60534019.228654742</c:v>
                </c:pt>
                <c:pt idx="2">
                  <c:v>233622724.15583658</c:v>
                </c:pt>
                <c:pt idx="3">
                  <c:v>81196045.056429237</c:v>
                </c:pt>
                <c:pt idx="4">
                  <c:v>118762178.57612064</c:v>
                </c:pt>
                <c:pt idx="5">
                  <c:v>121724100.7529822</c:v>
                </c:pt>
                <c:pt idx="6">
                  <c:v>151278491.75067273</c:v>
                </c:pt>
                <c:pt idx="7">
                  <c:v>35666204.398086138</c:v>
                </c:pt>
                <c:pt idx="8">
                  <c:v>2023013.8552251642</c:v>
                </c:pt>
              </c:numCache>
            </c:numRef>
          </c:val>
          <c:extLst>
            <c:ext xmlns:c16="http://schemas.microsoft.com/office/drawing/2014/chart" uri="{C3380CC4-5D6E-409C-BE32-E72D297353CC}">
              <c16:uniqueId val="{00000008-3E2F-4693-B6CA-A06692D61F58}"/>
            </c:ext>
          </c:extLst>
        </c:ser>
        <c:ser>
          <c:idx val="10"/>
          <c:order val="10"/>
          <c:tx>
            <c:strRef>
              <c:f>GYearlyCountry!$V$3:$V$4</c:f>
              <c:strCache>
                <c:ptCount val="1"/>
                <c:pt idx="0">
                  <c:v>Canada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GYearlyCountry!$V$5:$V$14</c:f>
              <c:numCache>
                <c:formatCode>"$"#,##0</c:formatCode>
                <c:ptCount val="9"/>
                <c:pt idx="0">
                  <c:v>14025001.953401206</c:v>
                </c:pt>
                <c:pt idx="1">
                  <c:v>74527239.488271639</c:v>
                </c:pt>
                <c:pt idx="2">
                  <c:v>172519375.61433196</c:v>
                </c:pt>
                <c:pt idx="3">
                  <c:v>61285548.299007379</c:v>
                </c:pt>
                <c:pt idx="4">
                  <c:v>175357232.20027563</c:v>
                </c:pt>
                <c:pt idx="5">
                  <c:v>103878760.13198657</c:v>
                </c:pt>
                <c:pt idx="6">
                  <c:v>48105731.645041831</c:v>
                </c:pt>
                <c:pt idx="7">
                  <c:v>21010612.790162455</c:v>
                </c:pt>
                <c:pt idx="8">
                  <c:v>57315790.459958151</c:v>
                </c:pt>
              </c:numCache>
            </c:numRef>
          </c:val>
          <c:extLst>
            <c:ext xmlns:c16="http://schemas.microsoft.com/office/drawing/2014/chart" uri="{C3380CC4-5D6E-409C-BE32-E72D297353CC}">
              <c16:uniqueId val="{00000009-3E2F-4693-B6CA-A06692D61F58}"/>
            </c:ext>
          </c:extLst>
        </c:ser>
        <c:ser>
          <c:idx val="11"/>
          <c:order val="11"/>
          <c:tx>
            <c:strRef>
              <c:f>GYearlyCountry!$W$3:$W$4</c:f>
              <c:strCache>
                <c:ptCount val="1"/>
                <c:pt idx="0">
                  <c:v>India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GYearlyCountry!$W$5:$W$14</c:f>
              <c:numCache>
                <c:formatCode>"$"#,##0</c:formatCode>
                <c:ptCount val="9"/>
                <c:pt idx="0">
                  <c:v>16766029.704929488</c:v>
                </c:pt>
                <c:pt idx="1">
                  <c:v>89274733.657891616</c:v>
                </c:pt>
                <c:pt idx="2">
                  <c:v>124161946.16683508</c:v>
                </c:pt>
                <c:pt idx="3">
                  <c:v>118640299.99999999</c:v>
                </c:pt>
                <c:pt idx="4">
                  <c:v>4801980.2951579848</c:v>
                </c:pt>
                <c:pt idx="5">
                  <c:v>32783771.578132838</c:v>
                </c:pt>
                <c:pt idx="6">
                  <c:v>77277368.884073943</c:v>
                </c:pt>
                <c:pt idx="7">
                  <c:v>31908707.22074154</c:v>
                </c:pt>
                <c:pt idx="8">
                  <c:v>3419158.775511716</c:v>
                </c:pt>
              </c:numCache>
            </c:numRef>
          </c:val>
          <c:extLst>
            <c:ext xmlns:c16="http://schemas.microsoft.com/office/drawing/2014/chart" uri="{C3380CC4-5D6E-409C-BE32-E72D297353CC}">
              <c16:uniqueId val="{0000000A-3E2F-4693-B6CA-A06692D61F58}"/>
            </c:ext>
          </c:extLst>
        </c:ser>
        <c:ser>
          <c:idx val="12"/>
          <c:order val="12"/>
          <c:tx>
            <c:strRef>
              <c:f>GYearlyCountry!$X$3:$X$4</c:f>
              <c:strCache>
                <c:ptCount val="1"/>
                <c:pt idx="0">
                  <c:v>South Africa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GYearlyCountry!$X$5:$X$14</c:f>
              <c:numCache>
                <c:formatCode>"$"#,##0</c:formatCode>
                <c:ptCount val="9"/>
                <c:pt idx="0">
                  <c:v>2688794.0993735516</c:v>
                </c:pt>
                <c:pt idx="1">
                  <c:v>8107688.5783066181</c:v>
                </c:pt>
                <c:pt idx="2">
                  <c:v>148122815.50668252</c:v>
                </c:pt>
                <c:pt idx="3">
                  <c:v>1476000.0000000002</c:v>
                </c:pt>
                <c:pt idx="4">
                  <c:v>31274.798295726188</c:v>
                </c:pt>
                <c:pt idx="5">
                  <c:v>552329.02463236789</c:v>
                </c:pt>
                <c:pt idx="6">
                  <c:v>314592.81501648971</c:v>
                </c:pt>
                <c:pt idx="7">
                  <c:v>4947296.4683510521</c:v>
                </c:pt>
                <c:pt idx="8">
                  <c:v>215575698.28849706</c:v>
                </c:pt>
              </c:numCache>
            </c:numRef>
          </c:val>
          <c:extLst>
            <c:ext xmlns:c16="http://schemas.microsoft.com/office/drawing/2014/chart" uri="{C3380CC4-5D6E-409C-BE32-E72D297353CC}">
              <c16:uniqueId val="{0000000B-3E2F-4693-B6CA-A06692D61F58}"/>
            </c:ext>
          </c:extLst>
        </c:ser>
        <c:ser>
          <c:idx val="13"/>
          <c:order val="13"/>
          <c:tx>
            <c:strRef>
              <c:f>GYearlyCountry!$Y$3:$Y$4</c:f>
              <c:strCache>
                <c:ptCount val="1"/>
                <c:pt idx="0">
                  <c:v>Indonesia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GYearlyCountry!$Y$5:$Y$14</c:f>
              <c:numCache>
                <c:formatCode>"$"#,##0</c:formatCode>
                <c:ptCount val="9"/>
                <c:pt idx="0">
                  <c:v>6134573.0812351517</c:v>
                </c:pt>
                <c:pt idx="1">
                  <c:v>50192786.610929944</c:v>
                </c:pt>
                <c:pt idx="2">
                  <c:v>72112183.417523161</c:v>
                </c:pt>
                <c:pt idx="3">
                  <c:v>38064200</c:v>
                </c:pt>
                <c:pt idx="4">
                  <c:v>3935032.3142746394</c:v>
                </c:pt>
                <c:pt idx="5">
                  <c:v>861554.83273886971</c:v>
                </c:pt>
                <c:pt idx="6">
                  <c:v>49805300.584930412</c:v>
                </c:pt>
                <c:pt idx="7">
                  <c:v>9610746.1406879891</c:v>
                </c:pt>
              </c:numCache>
            </c:numRef>
          </c:val>
          <c:extLst>
            <c:ext xmlns:c16="http://schemas.microsoft.com/office/drawing/2014/chart" uri="{C3380CC4-5D6E-409C-BE32-E72D297353CC}">
              <c16:uniqueId val="{0000000C-3E2F-4693-B6CA-A06692D61F58}"/>
            </c:ext>
          </c:extLst>
        </c:ser>
        <c:ser>
          <c:idx val="14"/>
          <c:order val="14"/>
          <c:tx>
            <c:strRef>
              <c:f>GYearlyCountry!$Z$3:$Z$4</c:f>
              <c:strCache>
                <c:ptCount val="1"/>
                <c:pt idx="0">
                  <c:v>Brazil </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GYearlyCountry!$Z$5:$Z$14</c:f>
              <c:numCache>
                <c:formatCode>"$"#,##0</c:formatCode>
                <c:ptCount val="9"/>
                <c:pt idx="0">
                  <c:v>8258337.1798359761</c:v>
                </c:pt>
                <c:pt idx="1">
                  <c:v>25956910.005827431</c:v>
                </c:pt>
                <c:pt idx="2">
                  <c:v>32344318.824600488</c:v>
                </c:pt>
                <c:pt idx="3">
                  <c:v>61104000</c:v>
                </c:pt>
                <c:pt idx="4">
                  <c:v>185037.84449548592</c:v>
                </c:pt>
                <c:pt idx="5">
                  <c:v>1585117.7201007521</c:v>
                </c:pt>
                <c:pt idx="6">
                  <c:v>1343355.5601474792</c:v>
                </c:pt>
                <c:pt idx="7">
                  <c:v>17303249.446194537</c:v>
                </c:pt>
              </c:numCache>
            </c:numRef>
          </c:val>
          <c:extLst>
            <c:ext xmlns:c16="http://schemas.microsoft.com/office/drawing/2014/chart" uri="{C3380CC4-5D6E-409C-BE32-E72D297353CC}">
              <c16:uniqueId val="{0000000D-3E2F-4693-B6CA-A06692D61F58}"/>
            </c:ext>
          </c:extLst>
        </c:ser>
        <c:ser>
          <c:idx val="15"/>
          <c:order val="15"/>
          <c:tx>
            <c:strRef>
              <c:f>GYearlyCountry!$AA$3:$AA$4</c:f>
              <c:strCache>
                <c:ptCount val="1"/>
                <c:pt idx="0">
                  <c:v>Turkey</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GYearlyCountry!$AA$5:$AA$14</c:f>
              <c:numCache>
                <c:formatCode>"$"#,##0</c:formatCode>
                <c:ptCount val="9"/>
                <c:pt idx="0">
                  <c:v>3565580.4832342011</c:v>
                </c:pt>
                <c:pt idx="1">
                  <c:v>10544219.980978552</c:v>
                </c:pt>
                <c:pt idx="2">
                  <c:v>24045484.89163065</c:v>
                </c:pt>
                <c:pt idx="3">
                  <c:v>4167429.1871345108</c:v>
                </c:pt>
                <c:pt idx="4">
                  <c:v>4723416.4823720213</c:v>
                </c:pt>
                <c:pt idx="5">
                  <c:v>1463411.4094194714</c:v>
                </c:pt>
                <c:pt idx="6">
                  <c:v>3504997.8408314204</c:v>
                </c:pt>
                <c:pt idx="7">
                  <c:v>5201103.7038304145</c:v>
                </c:pt>
                <c:pt idx="8">
                  <c:v>75197352.84902595</c:v>
                </c:pt>
              </c:numCache>
            </c:numRef>
          </c:val>
          <c:extLst>
            <c:ext xmlns:c16="http://schemas.microsoft.com/office/drawing/2014/chart" uri="{C3380CC4-5D6E-409C-BE32-E72D297353CC}">
              <c16:uniqueId val="{0000000E-3E2F-4693-B6CA-A06692D61F58}"/>
            </c:ext>
          </c:extLst>
        </c:ser>
        <c:ser>
          <c:idx val="16"/>
          <c:order val="16"/>
          <c:tx>
            <c:strRef>
              <c:f>GYearlyCountry!$AB$3:$AB$4</c:f>
              <c:strCache>
                <c:ptCount val="1"/>
                <c:pt idx="0">
                  <c:v>Argentina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GYearlyCountry!$AB$5:$AB$14</c:f>
              <c:numCache>
                <c:formatCode>"$"#,##0</c:formatCode>
                <c:ptCount val="9"/>
                <c:pt idx="0">
                  <c:v>5889677.1823571241</c:v>
                </c:pt>
                <c:pt idx="1">
                  <c:v>19688093.854994126</c:v>
                </c:pt>
                <c:pt idx="2">
                  <c:v>38386094.088777535</c:v>
                </c:pt>
                <c:pt idx="3">
                  <c:v>26448000</c:v>
                </c:pt>
                <c:pt idx="4">
                  <c:v>24509.586869293809</c:v>
                </c:pt>
                <c:pt idx="5">
                  <c:v>1009993.7694223631</c:v>
                </c:pt>
                <c:pt idx="6">
                  <c:v>560288.00797334826</c:v>
                </c:pt>
                <c:pt idx="7">
                  <c:v>11126567.57786512</c:v>
                </c:pt>
                <c:pt idx="8">
                  <c:v>1323571.720504326</c:v>
                </c:pt>
              </c:numCache>
            </c:numRef>
          </c:val>
          <c:extLst>
            <c:ext xmlns:c16="http://schemas.microsoft.com/office/drawing/2014/chart" uri="{C3380CC4-5D6E-409C-BE32-E72D297353CC}">
              <c16:uniqueId val="{0000000F-3E2F-4693-B6CA-A06692D61F58}"/>
            </c:ext>
          </c:extLst>
        </c:ser>
        <c:ser>
          <c:idx val="17"/>
          <c:order val="17"/>
          <c:tx>
            <c:strRef>
              <c:f>GYearlyCountry!$AC$3:$AC$4</c:f>
              <c:strCache>
                <c:ptCount val="1"/>
                <c:pt idx="0">
                  <c:v>Saudi Arabia</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GYearlyCountry!$AC$5:$AC$14</c:f>
              <c:numCache>
                <c:formatCode>"$"#,##0</c:formatCode>
                <c:ptCount val="9"/>
                <c:pt idx="0">
                  <c:v>8944468.2485605255</c:v>
                </c:pt>
                <c:pt idx="1">
                  <c:v>24024398.32130073</c:v>
                </c:pt>
                <c:pt idx="2">
                  <c:v>30221429.467509247</c:v>
                </c:pt>
                <c:pt idx="3">
                  <c:v>5724000</c:v>
                </c:pt>
                <c:pt idx="4">
                  <c:v>365070.55446102156</c:v>
                </c:pt>
                <c:pt idx="5">
                  <c:v>1855297.7469247044</c:v>
                </c:pt>
                <c:pt idx="6">
                  <c:v>2010673.026320203</c:v>
                </c:pt>
                <c:pt idx="7">
                  <c:v>19357474.236835949</c:v>
                </c:pt>
                <c:pt idx="8">
                  <c:v>2680682.6502426923</c:v>
                </c:pt>
              </c:numCache>
            </c:numRef>
          </c:val>
          <c:extLst>
            <c:ext xmlns:c16="http://schemas.microsoft.com/office/drawing/2014/chart" uri="{C3380CC4-5D6E-409C-BE32-E72D297353CC}">
              <c16:uniqueId val="{00000010-3E2F-4693-B6CA-A06692D61F58}"/>
            </c:ext>
          </c:extLst>
        </c:ser>
        <c:ser>
          <c:idx val="18"/>
          <c:order val="18"/>
          <c:tx>
            <c:strRef>
              <c:f>GYearlyCountry!$AD$3:$AD$4</c:f>
              <c:strCache>
                <c:ptCount val="1"/>
                <c:pt idx="0">
                  <c:v>Mexico</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GYearlyCountry!$AD$5:$AD$14</c:f>
              <c:numCache>
                <c:formatCode>"$"#,##0</c:formatCode>
                <c:ptCount val="9"/>
                <c:pt idx="0">
                  <c:v>4511455.9570552995</c:v>
                </c:pt>
                <c:pt idx="1">
                  <c:v>14341160.243980229</c:v>
                </c:pt>
                <c:pt idx="2">
                  <c:v>28559752.236394145</c:v>
                </c:pt>
                <c:pt idx="3">
                  <c:v>1832884.1307052711</c:v>
                </c:pt>
                <c:pt idx="4">
                  <c:v>639684.29002486425</c:v>
                </c:pt>
                <c:pt idx="5">
                  <c:v>918819.74493672303</c:v>
                </c:pt>
                <c:pt idx="6">
                  <c:v>587328.20195334824</c:v>
                </c:pt>
                <c:pt idx="7">
                  <c:v>8832285.1787148248</c:v>
                </c:pt>
                <c:pt idx="8">
                  <c:v>303377.93570895126</c:v>
                </c:pt>
              </c:numCache>
            </c:numRef>
          </c:val>
          <c:extLst>
            <c:ext xmlns:c16="http://schemas.microsoft.com/office/drawing/2014/chart" uri="{C3380CC4-5D6E-409C-BE32-E72D297353CC}">
              <c16:uniqueId val="{00000011-3E2F-4693-B6CA-A06692D61F58}"/>
            </c:ext>
          </c:extLst>
        </c:ser>
        <c:ser>
          <c:idx val="19"/>
          <c:order val="19"/>
          <c:tx>
            <c:strRef>
              <c:f>GYearlyCountry!$AE$3:$AE$4</c:f>
              <c:strCache>
                <c:ptCount val="1"/>
                <c:pt idx="0">
                  <c:v>Brazil</c:v>
                </c:pt>
              </c:strCache>
            </c:strRef>
          </c:tx>
          <c:invertIfNegative val="0"/>
          <c:cat>
            <c:strRef>
              <c:f>GYearlyCountry!$K$5:$K$14</c:f>
              <c:strCache>
                <c:ptCount val="9"/>
                <c:pt idx="0">
                  <c:v>2007</c:v>
                </c:pt>
                <c:pt idx="1">
                  <c:v>2008</c:v>
                </c:pt>
                <c:pt idx="2">
                  <c:v>2009</c:v>
                </c:pt>
                <c:pt idx="3">
                  <c:v>2010</c:v>
                </c:pt>
                <c:pt idx="4">
                  <c:v>2011</c:v>
                </c:pt>
                <c:pt idx="5">
                  <c:v>2012</c:v>
                </c:pt>
                <c:pt idx="6">
                  <c:v>2013</c:v>
                </c:pt>
                <c:pt idx="7">
                  <c:v>2014</c:v>
                </c:pt>
                <c:pt idx="8">
                  <c:v>2015</c:v>
                </c:pt>
              </c:strCache>
            </c:strRef>
          </c:cat>
          <c:val>
            <c:numRef>
              <c:f>GYearlyCountry!$AE$5:$AE$14</c:f>
              <c:numCache>
                <c:formatCode>"$"#,##0</c:formatCode>
                <c:ptCount val="9"/>
                <c:pt idx="2">
                  <c:v>31983969.233083043</c:v>
                </c:pt>
                <c:pt idx="8">
                  <c:v>4992229.4915375626</c:v>
                </c:pt>
              </c:numCache>
            </c:numRef>
          </c:val>
          <c:extLst>
            <c:ext xmlns:c16="http://schemas.microsoft.com/office/drawing/2014/chart" uri="{C3380CC4-5D6E-409C-BE32-E72D297353CC}">
              <c16:uniqueId val="{00000012-3E2F-4693-B6CA-A06692D61F58}"/>
            </c:ext>
          </c:extLst>
        </c:ser>
        <c:dLbls>
          <c:showLegendKey val="0"/>
          <c:showVal val="0"/>
          <c:showCatName val="0"/>
          <c:showSerName val="0"/>
          <c:showPercent val="0"/>
          <c:showBubbleSize val="0"/>
        </c:dLbls>
        <c:gapWidth val="150"/>
        <c:overlap val="100"/>
        <c:axId val="110225664"/>
        <c:axId val="110436352"/>
      </c:barChart>
      <c:catAx>
        <c:axId val="110225664"/>
        <c:scaling>
          <c:orientation val="minMax"/>
        </c:scaling>
        <c:delete val="0"/>
        <c:axPos val="b"/>
        <c:numFmt formatCode="[$-F400]h:mm:ss\ AM/PM" sourceLinked="0"/>
        <c:majorTickMark val="out"/>
        <c:minorTickMark val="none"/>
        <c:tickLblPos val="nextTo"/>
        <c:crossAx val="110436352"/>
        <c:crosses val="autoZero"/>
        <c:auto val="1"/>
        <c:lblAlgn val="ctr"/>
        <c:lblOffset val="100"/>
        <c:noMultiLvlLbl val="0"/>
      </c:catAx>
      <c:valAx>
        <c:axId val="110436352"/>
        <c:scaling>
          <c:orientation val="minMax"/>
        </c:scaling>
        <c:delete val="0"/>
        <c:axPos val="l"/>
        <c:majorGridlines/>
        <c:numFmt formatCode="&quot;$&quot;#,##0.0" sourceLinked="0"/>
        <c:majorTickMark val="out"/>
        <c:minorTickMark val="none"/>
        <c:tickLblPos val="nextTo"/>
        <c:crossAx val="110225664"/>
        <c:crosses val="autoZero"/>
        <c:crossBetween val="between"/>
        <c:dispUnits>
          <c:builtInUnit val="billions"/>
          <c:dispUnitsLbl>
            <c:layout>
              <c:manualLayout>
                <c:xMode val="edge"/>
                <c:yMode val="edge"/>
                <c:x val="1.6838175210183156E-2"/>
                <c:y val="0.44136763050867356"/>
              </c:manualLayout>
            </c:layout>
            <c:tx>
              <c:rich>
                <a:bodyPr/>
                <a:lstStyle/>
                <a:p>
                  <a:pPr>
                    <a:defRPr/>
                  </a:pPr>
                  <a:r>
                    <a:rPr lang="en-US"/>
                    <a:t>Billions USD</a:t>
                  </a:r>
                </a:p>
              </c:rich>
            </c:tx>
          </c:dispUnitsLbl>
        </c:dispUnits>
      </c:valAx>
    </c:plotArea>
    <c:legend>
      <c:legendPos val="r"/>
      <c:layout>
        <c:manualLayout>
          <c:xMode val="edge"/>
          <c:yMode val="edge"/>
          <c:x val="0.82816830086381465"/>
          <c:y val="5.4351509840235235E-2"/>
          <c:w val="0.16021620669113337"/>
          <c:h val="0.9014627297805130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[international-coal-finance-database-201611.xlsx]2016!PivotTable5</c:name>
    <c:fmtId val="49"/>
  </c:pivotSource>
  <c:chart>
    <c:title>
      <c:tx>
        <c:rich>
          <a:bodyPr/>
          <a:lstStyle/>
          <a:p>
            <a:pPr>
              <a:defRPr/>
            </a:pPr>
            <a:r>
              <a:rPr lang="en-US"/>
              <a:t>Coal Finance from Janaury to September 2016</a:t>
            </a:r>
          </a:p>
        </c:rich>
      </c:tx>
      <c:overlay val="0"/>
    </c:title>
    <c:autoTitleDeleted val="0"/>
    <c:pivotFmts>
      <c:pivotFmt>
        <c:idx val="0"/>
        <c:marker>
          <c:symbol val="none"/>
        </c:marker>
        <c:dLbl>
          <c:idx val="0"/>
          <c:numFmt formatCode="#,##0.00" sourceLinked="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numFmt formatCode="#,##0.00" sourceLinked="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numFmt formatCode="#,##0.00" sourceLinked="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pivotFmt>
      <c:pivotFmt>
        <c:idx val="5"/>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howLegendKey val="0"/>
          <c:showVal val="0"/>
          <c:showCatName val="0"/>
          <c:showSerName val="1"/>
          <c:showPercent val="0"/>
          <c:showBubbleSize val="0"/>
          <c:extLst>
            <c:ext xmlns:c15="http://schemas.microsoft.com/office/drawing/2012/chart" uri="{CE6537A1-D6FC-4f65-9D91-7224C49458BB}"/>
          </c:extLst>
        </c:dLbl>
      </c:pivotFmt>
      <c:pivotFmt>
        <c:idx val="7"/>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6"/>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8"/>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1"/>
        <c:marker>
          <c:symbol val="none"/>
        </c:marker>
        <c:dLbl>
          <c:idx val="0"/>
          <c:showLegendKey val="0"/>
          <c:showVal val="0"/>
          <c:showCatName val="0"/>
          <c:showSerName val="1"/>
          <c:showPercent val="0"/>
          <c:showBubbleSize val="0"/>
          <c:extLst>
            <c:ext xmlns:c15="http://schemas.microsoft.com/office/drawing/2012/chart" uri="{CE6537A1-D6FC-4f65-9D91-7224C49458BB}"/>
          </c:extLst>
        </c:dLbl>
      </c:pivotFmt>
      <c:pivotFmt>
        <c:idx val="32"/>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3"/>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tx>
            <c:rich>
              <a:bodyPr/>
              <a:lstStyle/>
              <a:p>
                <a:r>
                  <a:rPr lang="en-US"/>
                  <a:t>Punta Catalina, Dominican Republic
</a:t>
                </a:r>
              </a:p>
            </c:rich>
          </c:tx>
          <c:showLegendKey val="0"/>
          <c:showVal val="0"/>
          <c:showCatName val="0"/>
          <c:showSerName val="1"/>
          <c:showPercent val="0"/>
          <c:showBubbleSize val="0"/>
          <c:extLst>
            <c:ext xmlns:c15="http://schemas.microsoft.com/office/drawing/2012/chart" uri="{CE6537A1-D6FC-4f65-9D91-7224C49458BB}"/>
          </c:extLst>
        </c:dLbl>
      </c:pivotFmt>
      <c:pivotFmt>
        <c:idx val="37"/>
        <c:dLbl>
          <c:idx val="0"/>
          <c:tx>
            <c:rich>
              <a:bodyPr/>
              <a:lstStyle/>
              <a:p>
                <a:r>
                  <a:rPr lang="en-US"/>
                  <a:t>Batan, Indonesia</a:t>
                </a:r>
              </a:p>
            </c:rich>
          </c:tx>
          <c:showLegendKey val="0"/>
          <c:showVal val="0"/>
          <c:showCatName val="0"/>
          <c:showSerName val="1"/>
          <c:showPercent val="0"/>
          <c:showBubbleSize val="0"/>
          <c:extLst>
            <c:ext xmlns:c15="http://schemas.microsoft.com/office/drawing/2012/chart" uri="{CE6537A1-D6FC-4f65-9D91-7224C49458BB}"/>
          </c:extLst>
        </c:dLbl>
      </c:pivotFmt>
      <c:pivotFmt>
        <c:idx val="38"/>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dLbl>
          <c:idx val="0"/>
          <c:spPr/>
          <c:txPr>
            <a:bodyPr/>
            <a:lstStyle/>
            <a:p>
              <a:pPr>
                <a:defRPr/>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45"/>
        <c:marker>
          <c:symbol val="none"/>
        </c:marker>
        <c:dLbl>
          <c:idx val="0"/>
          <c:spPr/>
          <c:txPr>
            <a:bodyPr/>
            <a:lstStyle/>
            <a:p>
              <a:pPr>
                <a:defRPr/>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dLbl>
          <c:idx val="0"/>
          <c:spPr/>
          <c:txPr>
            <a:bodyPr/>
            <a:lstStyle/>
            <a:p>
              <a:pPr>
                <a:defRPr b="1"/>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marker>
          <c:symbol val="none"/>
        </c:marker>
      </c:pivotFmt>
      <c:pivotFmt>
        <c:idx val="58"/>
        <c:marker>
          <c:symbol val="none"/>
        </c:marker>
        <c:dLbl>
          <c:idx val="0"/>
          <c:spPr>
            <a:solidFill>
              <a:schemeClr val="bg1"/>
            </a:solidFill>
          </c:spPr>
          <c:txPr>
            <a:bodyPr/>
            <a:lstStyle/>
            <a:p>
              <a:pPr>
                <a:defRPr b="1"/>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59"/>
        <c:marker>
          <c:symbol val="none"/>
        </c:marker>
      </c:pivotFmt>
      <c:pivotFmt>
        <c:idx val="60"/>
        <c:marker>
          <c:symbol val="none"/>
        </c:marker>
      </c:pivotFmt>
      <c:pivotFmt>
        <c:idx val="61"/>
        <c:marker>
          <c:symbol val="none"/>
        </c:marker>
      </c:pivotFmt>
      <c:pivotFmt>
        <c:idx val="62"/>
        <c:marker>
          <c:symbol val="none"/>
        </c:marker>
        <c:dLbl>
          <c:idx val="0"/>
          <c:spPr/>
          <c:txPr>
            <a:bodyPr/>
            <a:lstStyle/>
            <a:p>
              <a:pPr>
                <a:defRPr b="1"/>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63"/>
        <c:marker>
          <c:symbol val="none"/>
        </c:marker>
        <c:dLbl>
          <c:idx val="0"/>
          <c:spPr>
            <a:solidFill>
              <a:schemeClr val="bg1"/>
            </a:solidFill>
          </c:spPr>
          <c:txPr>
            <a:bodyPr/>
            <a:lstStyle/>
            <a:p>
              <a:pPr>
                <a:defRPr/>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dLbl>
          <c:idx val="0"/>
          <c:spPr/>
          <c:txPr>
            <a:bodyPr/>
            <a:lstStyle/>
            <a:p>
              <a:pPr>
                <a:defRPr/>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69"/>
        <c:marker>
          <c:symbol val="none"/>
        </c:marker>
        <c:dLbl>
          <c:idx val="0"/>
          <c:spPr/>
          <c:txPr>
            <a:bodyPr/>
            <a:lstStyle/>
            <a:p>
              <a:pPr>
                <a:defRPr b="1"/>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0"/>
        <c:dLbl>
          <c:idx val="0"/>
          <c:tx>
            <c:rich>
              <a:bodyPr/>
              <a:lstStyle/>
              <a:p>
                <a:r>
                  <a:rPr lang="en-US"/>
                  <a:t>Suralaya Power </a:t>
                </a:r>
              </a:p>
            </c:rich>
          </c:tx>
          <c:dLblPos val="inEnd"/>
          <c:showLegendKey val="0"/>
          <c:showVal val="0"/>
          <c:showCatName val="0"/>
          <c:showSerName val="1"/>
          <c:showPercent val="0"/>
          <c:showBubbleSize val="0"/>
          <c:extLst>
            <c:ext xmlns:c15="http://schemas.microsoft.com/office/drawing/2012/chart" uri="{CE6537A1-D6FC-4f65-9D91-7224C49458BB}"/>
          </c:extLst>
        </c:dLbl>
      </c:pivotFmt>
      <c:pivotFmt>
        <c:idx val="71"/>
        <c:spPr>
          <a:pattFill prst="wdDnDiag">
            <a:fgClr>
              <a:schemeClr val="tx1"/>
            </a:fgClr>
            <a:bgClr>
              <a:schemeClr val="bg1"/>
            </a:bgClr>
          </a:pattFill>
        </c:spPr>
        <c:marker>
          <c:symbol val="none"/>
        </c:marker>
        <c:dLbl>
          <c:idx val="0"/>
          <c:spPr/>
          <c:txPr>
            <a:bodyPr/>
            <a:lstStyle/>
            <a:p>
              <a:pPr>
                <a:defRPr b="1"/>
              </a:pPr>
              <a:endParaRPr lang="en-US"/>
            </a:p>
          </c:txPr>
          <c:dLblPos val="inEnd"/>
          <c:showLegendKey val="0"/>
          <c:showVal val="0"/>
          <c:showCatName val="1"/>
          <c:showSerName val="0"/>
          <c:showPercent val="0"/>
          <c:showBubbleSize val="0"/>
          <c:extLst>
            <c:ext xmlns:c15="http://schemas.microsoft.com/office/drawing/2012/chart" uri="{CE6537A1-D6FC-4f65-9D91-7224C49458BB}"/>
          </c:extLst>
        </c:dLbl>
      </c:pivotFmt>
      <c:pivotFmt>
        <c:idx val="72"/>
        <c:marker>
          <c:symbol val="none"/>
        </c:marker>
      </c:pivotFmt>
      <c:pivotFmt>
        <c:idx val="73"/>
        <c:marker>
          <c:symbol val="none"/>
        </c:marker>
        <c:dLbl>
          <c:idx val="0"/>
          <c:spPr>
            <a:solidFill>
              <a:schemeClr val="bg1"/>
            </a:solidFill>
          </c:spPr>
          <c:txPr>
            <a:bodyPr/>
            <a:lstStyle/>
            <a:p>
              <a:pPr>
                <a:defRPr b="1"/>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74"/>
        <c:dLbl>
          <c:idx val="0"/>
          <c:layout>
            <c:manualLayout>
              <c:x val="0.12433011789925"/>
              <c:y val="-2.5897768830333401E-2"/>
            </c:manualLayout>
          </c:layout>
          <c:tx>
            <c:rich>
              <a:bodyPr/>
              <a:lstStyle/>
              <a:p>
                <a:pPr>
                  <a:defRPr b="1"/>
                </a:pPr>
                <a:r>
                  <a:rPr lang="en-US" b="1"/>
                  <a:t>Projects with</a:t>
                </a:r>
                <a:r>
                  <a:rPr lang="en-US" b="1" baseline="0"/>
                  <a:t> </a:t>
                </a:r>
                <a:r>
                  <a:rPr lang="en-US" b="1"/>
                  <a:t>Unspecified Amount</a:t>
                </a:r>
                <a:endParaRPr lang="en-US"/>
              </a:p>
            </c:rich>
          </c:tx>
          <c:spPr/>
          <c:dLblPos val="ctr"/>
          <c:showLegendKey val="0"/>
          <c:showVal val="0"/>
          <c:showCatName val="1"/>
          <c:showSerName val="0"/>
          <c:showPercent val="0"/>
          <c:showBubbleSize val="0"/>
          <c:extLst>
            <c:ext xmlns:c15="http://schemas.microsoft.com/office/drawing/2012/chart" uri="{CE6537A1-D6FC-4f65-9D91-7224C49458BB}"/>
          </c:extLst>
        </c:dLbl>
      </c:pivotFmt>
      <c:pivotFmt>
        <c:idx val="75"/>
        <c:dLbl>
          <c:idx val="0"/>
          <c:layout>
            <c:manualLayout>
              <c:x val="0.12861736334405099"/>
              <c:y val="-0.150994476673774"/>
            </c:manualLayout>
          </c:layout>
          <c:spPr>
            <a:solidFill>
              <a:schemeClr val="bg1"/>
            </a:solidFill>
          </c:spPr>
          <c:txPr>
            <a:bodyPr/>
            <a:lstStyle/>
            <a:p>
              <a:pPr>
                <a:defRPr b="1"/>
              </a:pPr>
              <a:endParaRPr lang="en-US"/>
            </a:p>
          </c:txPr>
          <c:dLblPos val="ctr"/>
          <c:showLegendKey val="0"/>
          <c:showVal val="0"/>
          <c:showCatName val="0"/>
          <c:showSerName val="1"/>
          <c:showPercent val="0"/>
          <c:showBubbleSize val="0"/>
          <c:extLst>
            <c:ext xmlns:c15="http://schemas.microsoft.com/office/drawing/2012/chart" uri="{CE6537A1-D6FC-4f65-9D91-7224C49458BB}"/>
          </c:extLst>
        </c:dLbl>
      </c:pivotFmt>
      <c:pivotFmt>
        <c:idx val="76"/>
        <c:dLbl>
          <c:idx val="0"/>
          <c:layout>
            <c:manualLayout>
              <c:x val="-2.14362272240086E-3"/>
              <c:y val="-3.4553388844548699E-2"/>
            </c:manualLayout>
          </c:layout>
          <c:tx>
            <c:rich>
              <a:bodyPr/>
              <a:lstStyle/>
              <a:p>
                <a:pPr>
                  <a:defRPr b="1"/>
                </a:pPr>
                <a:r>
                  <a:rPr lang="en-US" b="1"/>
                  <a:t>Punta Catalina
power plant</a:t>
                </a:r>
                <a:endParaRPr lang="en-US"/>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77"/>
        <c:dLbl>
          <c:idx val="0"/>
          <c:layout>
            <c:manualLayout>
              <c:x val="6.4308681672025697E-3"/>
              <c:y val="-0.11305990684598601"/>
            </c:manualLayout>
          </c:layout>
          <c:tx>
            <c:rich>
              <a:bodyPr/>
              <a:lstStyle/>
              <a:p>
                <a:pPr>
                  <a:defRPr b="1"/>
                </a:pPr>
                <a:r>
                  <a:rPr lang="en-US" b="1"/>
                  <a:t>JICA - Thai Binh Power Plant and Transmission </a:t>
                </a:r>
                <a:endParaRPr lang="en-US"/>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78"/>
        <c:dLbl>
          <c:idx val="0"/>
          <c:layout>
            <c:manualLayout>
              <c:x val="4.2872454448017201E-3"/>
              <c:y val="5.2923868631398396E-3"/>
            </c:manualLayout>
          </c:layout>
          <c:tx>
            <c:rich>
              <a:bodyPr/>
              <a:lstStyle/>
              <a:p>
                <a:pPr>
                  <a:defRPr b="1"/>
                </a:pPr>
                <a:r>
                  <a:rPr lang="en-US" b="1"/>
                  <a:t>JBIC</a:t>
                </a:r>
                <a:r>
                  <a:rPr lang="en-US" b="1" baseline="0"/>
                  <a:t> -</a:t>
                </a:r>
                <a:r>
                  <a:rPr lang="en-US" b="1"/>
                  <a:t> Duyen Hai Plant</a:t>
                </a:r>
                <a:endParaRPr lang="en-US"/>
              </a:p>
            </c:rich>
          </c:tx>
          <c:spPr>
            <a:solidFill>
              <a:schemeClr val="bg1"/>
            </a:solidFill>
          </c:spPr>
          <c:dLblPos val="ctr"/>
          <c:showLegendKey val="0"/>
          <c:showVal val="1"/>
          <c:showCatName val="0"/>
          <c:showSerName val="1"/>
          <c:showPercent val="0"/>
          <c:showBubbleSize val="0"/>
          <c:extLst>
            <c:ext xmlns:c15="http://schemas.microsoft.com/office/drawing/2012/chart" uri="{CE6537A1-D6FC-4f65-9D91-7224C49458BB}"/>
          </c:extLst>
        </c:dLbl>
      </c:pivotFmt>
      <c:pivotFmt>
        <c:idx val="79"/>
        <c:dLbl>
          <c:idx val="0"/>
          <c:layout>
            <c:manualLayout>
              <c:x val="-0.111468381564845"/>
              <c:y val="3.3926167701049502E-4"/>
            </c:manualLayout>
          </c:layout>
          <c:tx>
            <c:rich>
              <a:bodyPr/>
              <a:lstStyle/>
              <a:p>
                <a:pPr>
                  <a:defRPr b="1"/>
                </a:pPr>
                <a:r>
                  <a:rPr lang="en-US" b="1"/>
                  <a:t>KfW - Suralaya Power Plant </a:t>
                </a:r>
                <a:endParaRPr lang="en-US"/>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80"/>
        <c:dLbl>
          <c:idx val="0"/>
          <c:layout>
            <c:manualLayout>
              <c:x val="-0.12647374062165101"/>
              <c:y val="1.06543414297116E-3"/>
            </c:manualLayout>
          </c:layout>
          <c:tx>
            <c:rich>
              <a:bodyPr/>
              <a:lstStyle/>
              <a:p>
                <a:pPr>
                  <a:defRPr b="1"/>
                </a:pPr>
                <a:r>
                  <a:rPr lang="en-US" b="1"/>
                  <a:t>KfW - Ptolemaida V Power Plant</a:t>
                </a:r>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81"/>
        <c:dLbl>
          <c:idx val="0"/>
          <c:layout>
            <c:manualLayout>
              <c:x val="-0.12647374062165101"/>
              <c:y val="-1.0578261680981299E-2"/>
            </c:manualLayout>
          </c:layout>
          <c:tx>
            <c:rich>
              <a:bodyPr/>
              <a:lstStyle/>
              <a:p>
                <a:pPr>
                  <a:defRPr b="1"/>
                </a:pPr>
                <a:r>
                  <a:rPr lang="en-US" b="1"/>
                  <a:t>Euler Hermes - Kazakhstan power plant </a:t>
                </a:r>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82"/>
        <c:dLbl>
          <c:idx val="0"/>
          <c:layout>
            <c:manualLayout>
              <c:x val="-0.12861736334405099"/>
              <c:y val="1.01614907818822E-2"/>
            </c:manualLayout>
          </c:layout>
          <c:tx>
            <c:rich>
              <a:bodyPr/>
              <a:lstStyle/>
              <a:p>
                <a:pPr>
                  <a:defRPr b="1"/>
                </a:pPr>
                <a:r>
                  <a:rPr lang="en-US" b="1"/>
                  <a:t>Euler Hermes - Croatia power plant</a:t>
                </a:r>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83"/>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marker>
          <c:symbol val="none"/>
        </c:marker>
      </c:pivotFmt>
      <c:pivotFmt>
        <c:idx val="131"/>
        <c:marker>
          <c:symbol val="none"/>
        </c:marker>
      </c:pivotFmt>
      <c:pivotFmt>
        <c:idx val="132"/>
        <c:marker>
          <c:symbol val="none"/>
        </c:marker>
      </c:pivotFmt>
      <c:pivotFmt>
        <c:idx val="133"/>
        <c:marker>
          <c:symbol val="none"/>
        </c:marker>
      </c:pivotFmt>
      <c:pivotFmt>
        <c:idx val="134"/>
        <c:marker>
          <c:symbol val="none"/>
        </c:marker>
      </c:pivotFmt>
      <c:pivotFmt>
        <c:idx val="135"/>
        <c:marker>
          <c:symbol val="none"/>
        </c:marker>
      </c:pivotFmt>
      <c:pivotFmt>
        <c:idx val="136"/>
        <c:marker>
          <c:symbol val="none"/>
        </c:marker>
      </c:pivotFmt>
      <c:pivotFmt>
        <c:idx val="137"/>
        <c:marker>
          <c:symbol val="none"/>
        </c:marker>
      </c:pivotFmt>
      <c:pivotFmt>
        <c:idx val="138"/>
        <c:marker>
          <c:symbol val="none"/>
        </c:marker>
      </c:pivotFmt>
      <c:pivotFmt>
        <c:idx val="139"/>
        <c:marker>
          <c:symbol val="none"/>
        </c:marker>
      </c:pivotFmt>
      <c:pivotFmt>
        <c:idx val="140"/>
        <c:marker>
          <c:symbol val="none"/>
        </c:marker>
      </c:pivotFmt>
      <c:pivotFmt>
        <c:idx val="141"/>
        <c:marker>
          <c:symbol val="none"/>
        </c:marker>
      </c:pivotFmt>
      <c:pivotFmt>
        <c:idx val="142"/>
        <c:marker>
          <c:symbol val="none"/>
        </c:marker>
      </c:pivotFmt>
      <c:pivotFmt>
        <c:idx val="143"/>
        <c:marker>
          <c:symbol val="none"/>
        </c:marker>
      </c:pivotFmt>
      <c:pivotFmt>
        <c:idx val="144"/>
        <c:marker>
          <c:symbol val="none"/>
        </c:marker>
      </c:pivotFmt>
      <c:pivotFmt>
        <c:idx val="145"/>
        <c:marker>
          <c:symbol val="none"/>
        </c:marker>
      </c:pivotFmt>
      <c:pivotFmt>
        <c:idx val="146"/>
        <c:marker>
          <c:symbol val="none"/>
        </c:marker>
      </c:pivotFmt>
      <c:pivotFmt>
        <c:idx val="147"/>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8"/>
        <c:marker>
          <c:symbol val="none"/>
        </c:marker>
      </c:pivotFmt>
      <c:pivotFmt>
        <c:idx val="149"/>
        <c:marker>
          <c:symbol val="none"/>
        </c:marker>
      </c:pivotFmt>
      <c:pivotFmt>
        <c:idx val="150"/>
        <c:marker>
          <c:symbol val="none"/>
        </c:marker>
      </c:pivotFmt>
      <c:pivotFmt>
        <c:idx val="151"/>
        <c:marker>
          <c:symbol val="none"/>
        </c:marker>
      </c:pivotFmt>
      <c:pivotFmt>
        <c:idx val="152"/>
        <c:marker>
          <c:symbol val="none"/>
        </c:marker>
      </c:pivotFmt>
      <c:pivotFmt>
        <c:idx val="153"/>
        <c:marker>
          <c:symbol val="none"/>
        </c:marker>
      </c:pivotFmt>
      <c:pivotFmt>
        <c:idx val="15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5"/>
        <c:marker>
          <c:symbol val="none"/>
        </c:marker>
      </c:pivotFmt>
      <c:pivotFmt>
        <c:idx val="156"/>
        <c:marker>
          <c:symbol val="none"/>
        </c:marker>
        <c:dLbl>
          <c:idx val="0"/>
          <c:delete val="1"/>
          <c:extLst>
            <c:ext xmlns:c15="http://schemas.microsoft.com/office/drawing/2012/chart" uri="{CE6537A1-D6FC-4f65-9D91-7224C49458BB}"/>
          </c:extLst>
        </c:dLbl>
      </c:pivotFmt>
      <c:pivotFmt>
        <c:idx val="157"/>
        <c:marker>
          <c:symbol val="none"/>
        </c:marker>
        <c:dLbl>
          <c:idx val="0"/>
          <c:delete val="1"/>
          <c:extLst>
            <c:ext xmlns:c15="http://schemas.microsoft.com/office/drawing/2012/chart" uri="{CE6537A1-D6FC-4f65-9D91-7224C49458BB}"/>
          </c:extLst>
        </c:dLbl>
      </c:pivotFmt>
      <c:pivotFmt>
        <c:idx val="158"/>
        <c:marker>
          <c:symbol val="none"/>
        </c:marker>
      </c:pivotFmt>
      <c:pivotFmt>
        <c:idx val="159"/>
        <c:marker>
          <c:symbol val="none"/>
        </c:marker>
        <c:dLbl>
          <c:idx val="0"/>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60"/>
        <c:marker>
          <c:symbol val="none"/>
        </c:marker>
        <c:dLbl>
          <c:idx val="0"/>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61"/>
        <c:marker>
          <c:symbol val="none"/>
        </c:marker>
      </c:pivotFmt>
      <c:pivotFmt>
        <c:idx val="162"/>
        <c:marker>
          <c:symbol val="none"/>
        </c:marker>
      </c:pivotFmt>
      <c:pivotFmt>
        <c:idx val="163"/>
        <c:marker>
          <c:symbol val="none"/>
        </c:marker>
      </c:pivotFmt>
      <c:pivotFmt>
        <c:idx val="164"/>
        <c:marker>
          <c:symbol val="none"/>
        </c:marker>
      </c:pivotFmt>
      <c:pivotFmt>
        <c:idx val="165"/>
        <c:marker>
          <c:symbol val="none"/>
        </c:marker>
      </c:pivotFmt>
      <c:pivotFmt>
        <c:idx val="166"/>
        <c:marker>
          <c:symbol val="none"/>
        </c:marker>
      </c:pivotFmt>
      <c:pivotFmt>
        <c:idx val="167"/>
        <c:marker>
          <c:symbol val="none"/>
        </c:marker>
      </c:pivotFmt>
      <c:pivotFmt>
        <c:idx val="168"/>
        <c:marker>
          <c:symbol val="none"/>
        </c:marker>
      </c:pivotFmt>
      <c:pivotFmt>
        <c:idx val="169"/>
        <c:marker>
          <c:symbol val="none"/>
        </c:marker>
      </c:pivotFmt>
      <c:pivotFmt>
        <c:idx val="170"/>
        <c:marker>
          <c:symbol val="none"/>
        </c:marker>
      </c:pivotFmt>
      <c:pivotFmt>
        <c:idx val="171"/>
        <c:marker>
          <c:symbol val="none"/>
        </c:marker>
      </c:pivotFmt>
      <c:pivotFmt>
        <c:idx val="172"/>
        <c:marker>
          <c:symbol val="none"/>
        </c:marker>
      </c:pivotFmt>
      <c:pivotFmt>
        <c:idx val="173"/>
        <c:marker>
          <c:symbol val="none"/>
        </c:marker>
      </c:pivotFmt>
      <c:pivotFmt>
        <c:idx val="174"/>
        <c:marker>
          <c:symbol val="none"/>
        </c:marker>
      </c:pivotFmt>
      <c:pivotFmt>
        <c:idx val="175"/>
        <c:marker>
          <c:symbol val="none"/>
        </c:marker>
      </c:pivotFmt>
      <c:pivotFmt>
        <c:idx val="176"/>
        <c:dLbl>
          <c:idx val="0"/>
          <c:layout>
            <c:manualLayout>
              <c:x val="-6.4308681672026503E-3"/>
              <c:y val="-8.8252835398411594E-3"/>
            </c:manualLayout>
          </c:layout>
          <c:tx>
            <c:rich>
              <a:bodyPr/>
              <a:lstStyle/>
              <a:p>
                <a:pPr>
                  <a:defRPr/>
                </a:pPr>
                <a:r>
                  <a:rPr lang="en-US"/>
                  <a:t>JBIC - Tanjung Jati B Expansion</a:t>
                </a:r>
              </a:p>
              <a:p>
                <a:pPr>
                  <a:defRPr/>
                </a:pPr>
                <a:r>
                  <a:rPr lang="en-US"/>
                  <a:t>Indonesia</a:t>
                </a:r>
              </a:p>
            </c:rich>
          </c:tx>
          <c:spPr>
            <a:ln>
              <a:noFill/>
            </a:ln>
          </c:spPr>
          <c:dLblPos val="ctr"/>
          <c:showLegendKey val="0"/>
          <c:showVal val="0"/>
          <c:showCatName val="0"/>
          <c:showSerName val="1"/>
          <c:showPercent val="0"/>
          <c:showBubbleSize val="0"/>
          <c:extLst>
            <c:ext xmlns:c15="http://schemas.microsoft.com/office/drawing/2012/chart" uri="{CE6537A1-D6FC-4f65-9D91-7224C49458BB}"/>
          </c:extLst>
        </c:dLbl>
      </c:pivotFmt>
      <c:pivotFmt>
        <c:idx val="177"/>
        <c:dLbl>
          <c:idx val="0"/>
          <c:tx>
            <c:rich>
              <a:bodyPr/>
              <a:lstStyle/>
              <a:p>
                <a:r>
                  <a:rPr lang="en-US"/>
                  <a:t>JBIC - Toyo-Thai</a:t>
                </a:r>
              </a:p>
              <a:p>
                <a:r>
                  <a:rPr lang="en-US"/>
                  <a:t>Myanmar </a:t>
                </a:r>
              </a:p>
            </c:rich>
          </c:tx>
          <c:showLegendKey val="0"/>
          <c:showVal val="0"/>
          <c:showCatName val="0"/>
          <c:showSerName val="1"/>
          <c:showPercent val="0"/>
          <c:showBubbleSize val="0"/>
          <c:extLst>
            <c:ext xmlns:c15="http://schemas.microsoft.com/office/drawing/2012/chart" uri="{CE6537A1-D6FC-4f65-9D91-7224C49458BB}"/>
          </c:extLst>
        </c:dLbl>
      </c:pivotFmt>
      <c:pivotFmt>
        <c:idx val="178"/>
        <c:dLbl>
          <c:idx val="0"/>
          <c:tx>
            <c:rich>
              <a:bodyPr/>
              <a:lstStyle/>
              <a:p>
                <a:r>
                  <a:rPr lang="en-US"/>
                  <a:t>JBIC - Batang</a:t>
                </a:r>
              </a:p>
              <a:p>
                <a:r>
                  <a:rPr lang="en-US"/>
                  <a:t>Indonesia</a:t>
                </a:r>
              </a:p>
            </c:rich>
          </c:tx>
          <c:showLegendKey val="0"/>
          <c:showVal val="0"/>
          <c:showCatName val="0"/>
          <c:showSerName val="1"/>
          <c:showPercent val="0"/>
          <c:showBubbleSize val="0"/>
          <c:extLst>
            <c:ext xmlns:c15="http://schemas.microsoft.com/office/drawing/2012/chart" uri="{CE6537A1-D6FC-4f65-9D91-7224C49458BB}"/>
          </c:extLst>
        </c:dLbl>
      </c:pivotFmt>
      <c:pivotFmt>
        <c:idx val="179"/>
        <c:dLbl>
          <c:idx val="0"/>
          <c:tx>
            <c:rich>
              <a:bodyPr/>
              <a:lstStyle/>
              <a:p>
                <a:r>
                  <a:rPr lang="en-US"/>
                  <a:t>JBIC - Nghi Son 2</a:t>
                </a:r>
              </a:p>
              <a:p>
                <a:r>
                  <a:rPr lang="en-US"/>
                  <a:t>Vietnam </a:t>
                </a:r>
              </a:p>
            </c:rich>
          </c:tx>
          <c:showLegendKey val="0"/>
          <c:showVal val="1"/>
          <c:showCatName val="0"/>
          <c:showSerName val="1"/>
          <c:showPercent val="0"/>
          <c:showBubbleSize val="0"/>
          <c:extLst>
            <c:ext xmlns:c15="http://schemas.microsoft.com/office/drawing/2012/chart" uri="{CE6537A1-D6FC-4f65-9D91-7224C49458BB}"/>
          </c:extLst>
        </c:dLbl>
      </c:pivotFmt>
      <c:pivotFmt>
        <c:idx val="180"/>
        <c:marker>
          <c:symbol val="none"/>
        </c:marker>
      </c:pivotFmt>
      <c:pivotFmt>
        <c:idx val="181"/>
        <c:marker>
          <c:symbol val="none"/>
        </c:marker>
      </c:pivotFmt>
      <c:pivotFmt>
        <c:idx val="182"/>
        <c:marker>
          <c:symbol val="none"/>
        </c:marker>
      </c:pivotFmt>
      <c:pivotFmt>
        <c:idx val="183"/>
        <c:marker>
          <c:symbol val="none"/>
        </c:marker>
      </c:pivotFmt>
      <c:pivotFmt>
        <c:idx val="184"/>
        <c:marker>
          <c:symbol val="none"/>
        </c:marker>
      </c:pivotFmt>
      <c:pivotFmt>
        <c:idx val="185"/>
        <c:marker>
          <c:symbol val="none"/>
        </c:marker>
      </c:pivotFmt>
      <c:pivotFmt>
        <c:idx val="186"/>
        <c:marker>
          <c:symbol val="none"/>
        </c:marker>
      </c:pivotFmt>
      <c:pivotFmt>
        <c:idx val="187"/>
        <c:marker>
          <c:symbol val="none"/>
        </c:marker>
      </c:pivotFmt>
      <c:pivotFmt>
        <c:idx val="188"/>
        <c:marker>
          <c:symbol val="none"/>
        </c:marker>
      </c:pivotFmt>
      <c:pivotFmt>
        <c:idx val="189"/>
        <c:marker>
          <c:symbol val="none"/>
        </c:marker>
      </c:pivotFmt>
      <c:pivotFmt>
        <c:idx val="190"/>
        <c:marker>
          <c:symbol val="none"/>
        </c:marker>
      </c:pivotFmt>
      <c:pivotFmt>
        <c:idx val="191"/>
        <c:marker>
          <c:symbol val="none"/>
        </c:marker>
      </c:pivotFmt>
      <c:pivotFmt>
        <c:idx val="192"/>
        <c:marker>
          <c:symbol val="none"/>
        </c:marker>
      </c:pivotFmt>
      <c:pivotFmt>
        <c:idx val="193"/>
        <c:dLbl>
          <c:idx val="0"/>
          <c:tx>
            <c:rich>
              <a:bodyPr/>
              <a:lstStyle/>
              <a:p>
                <a:r>
                  <a:rPr lang="en-US"/>
                  <a:t>JBIC</a:t>
                </a:r>
                <a:r>
                  <a:rPr lang="en-US" baseline="0"/>
                  <a:t> - Toyo-Thai Myanmar</a:t>
                </a:r>
                <a:endParaRPr lang="en-US"/>
              </a:p>
            </c:rich>
          </c:tx>
          <c:showLegendKey val="0"/>
          <c:showVal val="1"/>
          <c:showCatName val="0"/>
          <c:showSerName val="0"/>
          <c:showPercent val="0"/>
          <c:showBubbleSize val="0"/>
          <c:extLst>
            <c:ext xmlns:c15="http://schemas.microsoft.com/office/drawing/2012/chart" uri="{CE6537A1-D6FC-4f65-9D91-7224C49458BB}"/>
          </c:extLst>
        </c:dLbl>
      </c:pivotFmt>
      <c:pivotFmt>
        <c:idx val="194"/>
        <c:dLbl>
          <c:idx val="0"/>
          <c:tx>
            <c:rich>
              <a:bodyPr/>
              <a:lstStyle/>
              <a:p>
                <a:r>
                  <a:rPr lang="en-US"/>
                  <a:t>JBIC - Tanjung Jati B Expansion</a:t>
                </a:r>
              </a:p>
              <a:p>
                <a:r>
                  <a:rPr lang="en-US"/>
                  <a:t>Indonesia</a:t>
                </a:r>
              </a:p>
            </c:rich>
          </c:tx>
          <c:showLegendKey val="0"/>
          <c:showVal val="1"/>
          <c:showCatName val="0"/>
          <c:showSerName val="0"/>
          <c:showPercent val="0"/>
          <c:showBubbleSize val="0"/>
          <c:extLst>
            <c:ext xmlns:c15="http://schemas.microsoft.com/office/drawing/2012/chart" uri="{CE6537A1-D6FC-4f65-9D91-7224C49458BB}"/>
          </c:extLst>
        </c:dLbl>
      </c:pivotFmt>
      <c:pivotFmt>
        <c:idx val="195"/>
        <c:dLbl>
          <c:idx val="0"/>
          <c:tx>
            <c:rich>
              <a:bodyPr/>
              <a:lstStyle/>
              <a:p>
                <a:r>
                  <a:rPr lang="en-US"/>
                  <a:t>JBIC - Nghi Son 2 </a:t>
                </a:r>
              </a:p>
              <a:p>
                <a:r>
                  <a:rPr lang="en-US"/>
                  <a:t>Vietnam</a:t>
                </a:r>
              </a:p>
            </c:rich>
          </c:tx>
          <c:showLegendKey val="0"/>
          <c:showVal val="1"/>
          <c:showCatName val="0"/>
          <c:showSerName val="0"/>
          <c:showPercent val="0"/>
          <c:showBubbleSize val="0"/>
          <c:extLst>
            <c:ext xmlns:c15="http://schemas.microsoft.com/office/drawing/2012/chart" uri="{CE6537A1-D6FC-4f65-9D91-7224C49458BB}"/>
          </c:extLst>
        </c:dLbl>
      </c:pivotFmt>
      <c:pivotFmt>
        <c:idx val="196"/>
        <c:dLbl>
          <c:idx val="0"/>
          <c:tx>
            <c:rich>
              <a:bodyPr/>
              <a:lstStyle/>
              <a:p>
                <a:r>
                  <a:rPr lang="en-US"/>
                  <a:t>JBIC</a:t>
                </a:r>
                <a:r>
                  <a:rPr lang="en-US" baseline="0"/>
                  <a:t> - Batang </a:t>
                </a:r>
              </a:p>
              <a:p>
                <a:r>
                  <a:rPr lang="en-US" baseline="0"/>
                  <a:t>Indonesia</a:t>
                </a:r>
                <a:endParaRPr lang="en-US"/>
              </a:p>
            </c:rich>
          </c:tx>
          <c:showLegendKey val="0"/>
          <c:showVal val="1"/>
          <c:showCatName val="0"/>
          <c:showSerName val="0"/>
          <c:showPercent val="0"/>
          <c:showBubbleSize val="0"/>
          <c:extLst>
            <c:ext xmlns:c15="http://schemas.microsoft.com/office/drawing/2012/chart" uri="{CE6537A1-D6FC-4f65-9D91-7224C49458BB}"/>
          </c:extLst>
        </c:dLbl>
      </c:pivotFmt>
      <c:pivotFmt>
        <c:idx val="197"/>
        <c:dLbl>
          <c:idx val="0"/>
          <c:delete val="1"/>
          <c:extLst>
            <c:ext xmlns:c15="http://schemas.microsoft.com/office/drawing/2012/chart" uri="{CE6537A1-D6FC-4f65-9D91-7224C49458BB}"/>
          </c:extLst>
        </c:dLbl>
      </c:pivotFmt>
      <c:pivotFmt>
        <c:idx val="198"/>
        <c:marker>
          <c:symbol val="none"/>
        </c:marker>
      </c:pivotFmt>
      <c:pivotFmt>
        <c:idx val="199"/>
        <c:marker>
          <c:symbol val="none"/>
        </c:marker>
      </c:pivotFmt>
      <c:pivotFmt>
        <c:idx val="200"/>
        <c:marker>
          <c:symbol val="none"/>
        </c:marker>
      </c:pivotFmt>
      <c:pivotFmt>
        <c:idx val="201"/>
        <c:marker>
          <c:symbol val="none"/>
        </c:marker>
      </c:pivotFmt>
      <c:pivotFmt>
        <c:idx val="202"/>
        <c:marker>
          <c:symbol val="none"/>
        </c:marker>
      </c:pivotFmt>
      <c:pivotFmt>
        <c:idx val="203"/>
        <c:marker>
          <c:symbol val="none"/>
        </c:marker>
      </c:pivotFmt>
      <c:pivotFmt>
        <c:idx val="204"/>
        <c:marker>
          <c:symbol val="none"/>
        </c:marker>
      </c:pivotFmt>
      <c:pivotFmt>
        <c:idx val="205"/>
        <c:marker>
          <c:symbol val="none"/>
        </c:marker>
      </c:pivotFmt>
      <c:pivotFmt>
        <c:idx val="206"/>
        <c:marker>
          <c:symbol val="none"/>
        </c:marker>
      </c:pivotFmt>
      <c:pivotFmt>
        <c:idx val="207"/>
        <c:marker>
          <c:symbol val="none"/>
        </c:marker>
      </c:pivotFmt>
      <c:pivotFmt>
        <c:idx val="208"/>
        <c:dLbl>
          <c:idx val="0"/>
          <c:tx>
            <c:rich>
              <a:bodyPr/>
              <a:lstStyle/>
              <a:p>
                <a:r>
                  <a:rPr lang="en-US"/>
                  <a:t>JBIC- Vung Ang 2</a:t>
                </a:r>
              </a:p>
              <a:p>
                <a:r>
                  <a:rPr lang="en-US"/>
                  <a:t>Vietnam </a:t>
                </a:r>
              </a:p>
            </c:rich>
          </c:tx>
          <c:showLegendKey val="0"/>
          <c:showVal val="0"/>
          <c:showCatName val="0"/>
          <c:showSerName val="1"/>
          <c:showPercent val="0"/>
          <c:showBubbleSize val="0"/>
          <c:extLst>
            <c:ext xmlns:c15="http://schemas.microsoft.com/office/drawing/2012/chart" uri="{CE6537A1-D6FC-4f65-9D91-7224C49458BB}"/>
          </c:extLst>
        </c:dLbl>
      </c:pivotFmt>
      <c:pivotFmt>
        <c:idx val="209"/>
        <c:dLbl>
          <c:idx val="0"/>
          <c:tx>
            <c:rich>
              <a:bodyPr/>
              <a:lstStyle/>
              <a:p>
                <a:r>
                  <a:rPr lang="en-US"/>
                  <a:t>JBIC - Van Phong</a:t>
                </a:r>
              </a:p>
              <a:p>
                <a:r>
                  <a:rPr lang="en-US"/>
                  <a:t>Vietnam</a:t>
                </a:r>
              </a:p>
            </c:rich>
          </c:tx>
          <c:showLegendKey val="0"/>
          <c:showVal val="0"/>
          <c:showCatName val="0"/>
          <c:showSerName val="1"/>
          <c:showPercent val="0"/>
          <c:showBubbleSize val="0"/>
          <c:extLst>
            <c:ext xmlns:c15="http://schemas.microsoft.com/office/drawing/2012/chart" uri="{CE6537A1-D6FC-4f65-9D91-7224C49458BB}"/>
          </c:extLst>
        </c:dLbl>
      </c:pivotFmt>
      <c:pivotFmt>
        <c:idx val="210"/>
        <c:marker>
          <c:symbol val="none"/>
        </c:marker>
      </c:pivotFmt>
      <c:pivotFmt>
        <c:idx val="211"/>
        <c:marker>
          <c:symbol val="none"/>
        </c:marker>
      </c:pivotFmt>
      <c:pivotFmt>
        <c:idx val="212"/>
        <c:marker>
          <c:symbol val="none"/>
        </c:marker>
      </c:pivotFmt>
      <c:pivotFmt>
        <c:idx val="213"/>
        <c:marker>
          <c:symbol val="none"/>
        </c:marker>
      </c:pivotFmt>
      <c:pivotFmt>
        <c:idx val="214"/>
        <c:marker>
          <c:symbol val="none"/>
        </c:marker>
      </c:pivotFmt>
      <c:pivotFmt>
        <c:idx val="215"/>
        <c:marker>
          <c:symbol val="none"/>
        </c:marker>
      </c:pivotFmt>
      <c:pivotFmt>
        <c:idx val="216"/>
        <c:marker>
          <c:symbol val="none"/>
        </c:marker>
      </c:pivotFmt>
      <c:pivotFmt>
        <c:idx val="217"/>
        <c:marker>
          <c:symbol val="none"/>
        </c:marker>
      </c:pivotFmt>
      <c:pivotFmt>
        <c:idx val="218"/>
        <c:marker>
          <c:symbol val="none"/>
        </c:marker>
      </c:pivotFmt>
      <c:pivotFmt>
        <c:idx val="219"/>
        <c:marker>
          <c:symbol val="none"/>
        </c:marker>
      </c:pivotFmt>
      <c:pivotFmt>
        <c:idx val="220"/>
        <c:marker>
          <c:symbol val="none"/>
        </c:marker>
      </c:pivotFmt>
      <c:pivotFmt>
        <c:idx val="221"/>
        <c:marker>
          <c:symbol val="none"/>
        </c:marker>
      </c:pivotFmt>
      <c:pivotFmt>
        <c:idx val="222"/>
        <c:marker>
          <c:symbol val="none"/>
        </c:marker>
      </c:pivotFmt>
      <c:pivotFmt>
        <c:idx val="223"/>
        <c:marker>
          <c:symbol val="none"/>
        </c:marker>
      </c:pivotFmt>
      <c:pivotFmt>
        <c:idx val="224"/>
        <c:marker>
          <c:symbol val="none"/>
        </c:marker>
      </c:pivotFmt>
      <c:pivotFmt>
        <c:idx val="225"/>
        <c:marker>
          <c:symbol val="none"/>
        </c:marker>
      </c:pivotFmt>
      <c:pivotFmt>
        <c:idx val="226"/>
        <c:marker>
          <c:symbol val="none"/>
        </c:marker>
      </c:pivotFmt>
      <c:pivotFmt>
        <c:idx val="227"/>
        <c:marker>
          <c:symbol val="none"/>
        </c:marker>
      </c:pivotFmt>
      <c:pivotFmt>
        <c:idx val="228"/>
        <c:marker>
          <c:symbol val="none"/>
        </c:marker>
      </c:pivotFmt>
      <c:pivotFmt>
        <c:idx val="229"/>
        <c:marker>
          <c:symbol val="none"/>
        </c:marker>
      </c:pivotFmt>
      <c:pivotFmt>
        <c:idx val="230"/>
        <c:marker>
          <c:symbol val="none"/>
        </c:marker>
      </c:pivotFmt>
      <c:pivotFmt>
        <c:idx val="231"/>
        <c:marker>
          <c:symbol val="none"/>
        </c:marker>
      </c:pivotFmt>
      <c:pivotFmt>
        <c:idx val="232"/>
        <c:marker>
          <c:symbol val="none"/>
        </c:marker>
      </c:pivotFmt>
      <c:pivotFmt>
        <c:idx val="233"/>
        <c:marker>
          <c:symbol val="none"/>
        </c:marker>
      </c:pivotFmt>
      <c:pivotFmt>
        <c:idx val="234"/>
        <c:marker>
          <c:symbol val="none"/>
        </c:marker>
      </c:pivotFmt>
      <c:pivotFmt>
        <c:idx val="235"/>
        <c:marker>
          <c:symbol val="none"/>
        </c:marker>
      </c:pivotFmt>
      <c:pivotFmt>
        <c:idx val="236"/>
        <c:marker>
          <c:symbol val="none"/>
        </c:marker>
      </c:pivotFmt>
      <c:pivotFmt>
        <c:idx val="237"/>
        <c:marker>
          <c:symbol val="none"/>
        </c:marker>
      </c:pivotFmt>
      <c:pivotFmt>
        <c:idx val="238"/>
        <c:marker>
          <c:symbol val="none"/>
        </c:marker>
      </c:pivotFmt>
      <c:pivotFmt>
        <c:idx val="239"/>
        <c:marker>
          <c:symbol val="none"/>
        </c:marker>
      </c:pivotFmt>
      <c:pivotFmt>
        <c:idx val="240"/>
        <c:marker>
          <c:symbol val="none"/>
        </c:marker>
      </c:pivotFmt>
      <c:pivotFmt>
        <c:idx val="241"/>
        <c:marker>
          <c:symbol val="none"/>
        </c:marker>
      </c:pivotFmt>
      <c:pivotFmt>
        <c:idx val="242"/>
        <c:marker>
          <c:symbol val="none"/>
        </c:marker>
      </c:pivotFmt>
      <c:pivotFmt>
        <c:idx val="243"/>
        <c:marker>
          <c:symbol val="none"/>
        </c:marker>
      </c:pivotFmt>
      <c:pivotFmt>
        <c:idx val="244"/>
        <c:marker>
          <c:symbol val="none"/>
        </c:marker>
      </c:pivotFmt>
      <c:pivotFmt>
        <c:idx val="245"/>
        <c:marker>
          <c:symbol val="none"/>
        </c:marker>
      </c:pivotFmt>
      <c:pivotFmt>
        <c:idx val="246"/>
        <c:marker>
          <c:symbol val="none"/>
        </c:marker>
      </c:pivotFmt>
      <c:pivotFmt>
        <c:idx val="247"/>
        <c:marker>
          <c:symbol val="none"/>
        </c:marker>
      </c:pivotFmt>
      <c:pivotFmt>
        <c:idx val="248"/>
        <c:marker>
          <c:symbol val="none"/>
        </c:marker>
      </c:pivotFmt>
      <c:pivotFmt>
        <c:idx val="249"/>
        <c:marker>
          <c:symbol val="none"/>
        </c:marker>
      </c:pivotFmt>
      <c:pivotFmt>
        <c:idx val="250"/>
        <c:marker>
          <c:symbol val="none"/>
        </c:marker>
      </c:pivotFmt>
      <c:pivotFmt>
        <c:idx val="251"/>
        <c:marker>
          <c:symbol val="none"/>
        </c:marker>
      </c:pivotFmt>
      <c:pivotFmt>
        <c:idx val="252"/>
        <c:marker>
          <c:symbol val="none"/>
        </c:marker>
      </c:pivotFmt>
      <c:pivotFmt>
        <c:idx val="253"/>
        <c:marker>
          <c:symbol val="none"/>
        </c:marker>
      </c:pivotFmt>
      <c:pivotFmt>
        <c:idx val="254"/>
        <c:marker>
          <c:symbol val="none"/>
        </c:marker>
      </c:pivotFmt>
      <c:pivotFmt>
        <c:idx val="255"/>
        <c:marker>
          <c:symbol val="none"/>
        </c:marker>
      </c:pivotFmt>
      <c:pivotFmt>
        <c:idx val="256"/>
        <c:marker>
          <c:symbol val="none"/>
        </c:marker>
      </c:pivotFmt>
      <c:pivotFmt>
        <c:idx val="257"/>
        <c:marker>
          <c:symbol val="none"/>
        </c:marker>
      </c:pivotFmt>
      <c:pivotFmt>
        <c:idx val="258"/>
        <c:marker>
          <c:symbol val="none"/>
        </c:marker>
      </c:pivotFmt>
      <c:pivotFmt>
        <c:idx val="259"/>
        <c:marker>
          <c:symbol val="none"/>
        </c:marker>
      </c:pivotFmt>
      <c:pivotFmt>
        <c:idx val="260"/>
        <c:marker>
          <c:symbol val="none"/>
        </c:marker>
      </c:pivotFmt>
      <c:pivotFmt>
        <c:idx val="261"/>
        <c:marker>
          <c:symbol val="none"/>
        </c:marker>
      </c:pivotFmt>
      <c:pivotFmt>
        <c:idx val="262"/>
        <c:marker>
          <c:symbol val="none"/>
        </c:marker>
      </c:pivotFmt>
      <c:pivotFmt>
        <c:idx val="263"/>
        <c:marker>
          <c:symbol val="none"/>
        </c:marker>
      </c:pivotFmt>
      <c:pivotFmt>
        <c:idx val="264"/>
        <c:marker>
          <c:symbol val="none"/>
        </c:marker>
      </c:pivotFmt>
      <c:pivotFmt>
        <c:idx val="265"/>
        <c:marker>
          <c:symbol val="none"/>
        </c:marker>
      </c:pivotFmt>
      <c:pivotFmt>
        <c:idx val="266"/>
        <c:marker>
          <c:symbol val="none"/>
        </c:marker>
      </c:pivotFmt>
      <c:pivotFmt>
        <c:idx val="267"/>
        <c:marker>
          <c:symbol val="none"/>
        </c:marker>
      </c:pivotFmt>
      <c:pivotFmt>
        <c:idx val="268"/>
        <c:marker>
          <c:symbol val="none"/>
        </c:marker>
      </c:pivotFmt>
      <c:pivotFmt>
        <c:idx val="269"/>
        <c:marker>
          <c:symbol val="none"/>
        </c:marker>
      </c:pivotFmt>
      <c:pivotFmt>
        <c:idx val="270"/>
        <c:marker>
          <c:symbol val="none"/>
        </c:marker>
      </c:pivotFmt>
      <c:pivotFmt>
        <c:idx val="271"/>
        <c:marker>
          <c:symbol val="none"/>
        </c:marker>
      </c:pivotFmt>
      <c:pivotFmt>
        <c:idx val="272"/>
        <c:marker>
          <c:symbol val="none"/>
        </c:marker>
      </c:pivotFmt>
      <c:pivotFmt>
        <c:idx val="273"/>
        <c:marker>
          <c:symbol val="none"/>
        </c:marker>
      </c:pivotFmt>
      <c:pivotFmt>
        <c:idx val="274"/>
        <c:marker>
          <c:symbol val="none"/>
        </c:marker>
      </c:pivotFmt>
      <c:pivotFmt>
        <c:idx val="275"/>
        <c:marker>
          <c:symbol val="none"/>
        </c:marker>
      </c:pivotFmt>
      <c:pivotFmt>
        <c:idx val="276"/>
        <c:marker>
          <c:symbol val="none"/>
        </c:marker>
      </c:pivotFmt>
      <c:pivotFmt>
        <c:idx val="277"/>
        <c:marker>
          <c:symbol val="none"/>
        </c:marker>
      </c:pivotFmt>
      <c:pivotFmt>
        <c:idx val="278"/>
        <c:marker>
          <c:symbol val="none"/>
        </c:marker>
      </c:pivotFmt>
      <c:pivotFmt>
        <c:idx val="279"/>
        <c:marker>
          <c:symbol val="none"/>
        </c:marker>
      </c:pivotFmt>
      <c:pivotFmt>
        <c:idx val="280"/>
        <c:marker>
          <c:symbol val="none"/>
        </c:marker>
      </c:pivotFmt>
      <c:pivotFmt>
        <c:idx val="281"/>
        <c:marker>
          <c:symbol val="none"/>
        </c:marker>
      </c:pivotFmt>
      <c:pivotFmt>
        <c:idx val="282"/>
        <c:marker>
          <c:symbol val="none"/>
        </c:marker>
      </c:pivotFmt>
      <c:pivotFmt>
        <c:idx val="283"/>
        <c:marker>
          <c:symbol val="none"/>
        </c:marker>
      </c:pivotFmt>
      <c:pivotFmt>
        <c:idx val="284"/>
        <c:marker>
          <c:symbol val="none"/>
        </c:marker>
      </c:pivotFmt>
      <c:pivotFmt>
        <c:idx val="285"/>
        <c:marker>
          <c:symbol val="none"/>
        </c:marker>
      </c:pivotFmt>
      <c:pivotFmt>
        <c:idx val="286"/>
        <c:marker>
          <c:symbol val="none"/>
        </c:marker>
      </c:pivotFmt>
      <c:pivotFmt>
        <c:idx val="287"/>
        <c:marker>
          <c:symbol val="none"/>
        </c:marker>
      </c:pivotFmt>
      <c:pivotFmt>
        <c:idx val="288"/>
        <c:marker>
          <c:symbol val="none"/>
        </c:marker>
      </c:pivotFmt>
      <c:pivotFmt>
        <c:idx val="289"/>
        <c:marker>
          <c:symbol val="none"/>
        </c:marker>
      </c:pivotFmt>
      <c:pivotFmt>
        <c:idx val="290"/>
        <c:marker>
          <c:symbol val="none"/>
        </c:marker>
      </c:pivotFmt>
      <c:pivotFmt>
        <c:idx val="291"/>
        <c:marker>
          <c:symbol val="none"/>
        </c:marker>
      </c:pivotFmt>
      <c:pivotFmt>
        <c:idx val="292"/>
        <c:marker>
          <c:symbol val="none"/>
        </c:marker>
      </c:pivotFmt>
      <c:pivotFmt>
        <c:idx val="293"/>
        <c:marker>
          <c:symbol val="none"/>
        </c:marker>
      </c:pivotFmt>
      <c:pivotFmt>
        <c:idx val="294"/>
        <c:marker>
          <c:symbol val="none"/>
        </c:marker>
      </c:pivotFmt>
      <c:pivotFmt>
        <c:idx val="295"/>
        <c:marker>
          <c:symbol val="none"/>
        </c:marker>
      </c:pivotFmt>
      <c:pivotFmt>
        <c:idx val="296"/>
        <c:marker>
          <c:symbol val="none"/>
        </c:marker>
      </c:pivotFmt>
      <c:pivotFmt>
        <c:idx val="297"/>
        <c:marker>
          <c:symbol val="none"/>
        </c:marker>
      </c:pivotFmt>
      <c:pivotFmt>
        <c:idx val="298"/>
        <c:marker>
          <c:symbol val="none"/>
        </c:marker>
      </c:pivotFmt>
      <c:pivotFmt>
        <c:idx val="299"/>
        <c:marker>
          <c:symbol val="none"/>
        </c:marker>
      </c:pivotFmt>
      <c:pivotFmt>
        <c:idx val="300"/>
        <c:marker>
          <c:symbol val="none"/>
        </c:marker>
      </c:pivotFmt>
      <c:pivotFmt>
        <c:idx val="301"/>
        <c:marker>
          <c:symbol val="none"/>
        </c:marker>
      </c:pivotFmt>
      <c:pivotFmt>
        <c:idx val="302"/>
        <c:marker>
          <c:symbol val="none"/>
        </c:marker>
      </c:pivotFmt>
      <c:pivotFmt>
        <c:idx val="303"/>
        <c:marker>
          <c:symbol val="none"/>
        </c:marker>
      </c:pivotFmt>
      <c:pivotFmt>
        <c:idx val="304"/>
        <c:marker>
          <c:symbol val="none"/>
        </c:marker>
      </c:pivotFmt>
      <c:pivotFmt>
        <c:idx val="305"/>
        <c:marker>
          <c:symbol val="none"/>
        </c:marker>
      </c:pivotFmt>
      <c:pivotFmt>
        <c:idx val="306"/>
        <c:marker>
          <c:symbol val="none"/>
        </c:marker>
      </c:pivotFmt>
      <c:pivotFmt>
        <c:idx val="307"/>
        <c:marker>
          <c:symbol val="none"/>
        </c:marker>
      </c:pivotFmt>
      <c:pivotFmt>
        <c:idx val="308"/>
        <c:marker>
          <c:symbol val="none"/>
        </c:marker>
      </c:pivotFmt>
      <c:pivotFmt>
        <c:idx val="309"/>
        <c:marker>
          <c:symbol val="none"/>
        </c:marker>
      </c:pivotFmt>
      <c:pivotFmt>
        <c:idx val="310"/>
        <c:marker>
          <c:symbol val="none"/>
        </c:marker>
      </c:pivotFmt>
      <c:pivotFmt>
        <c:idx val="311"/>
        <c:marker>
          <c:symbol val="none"/>
        </c:marker>
      </c:pivotFmt>
      <c:pivotFmt>
        <c:idx val="312"/>
        <c:marker>
          <c:symbol val="none"/>
        </c:marker>
      </c:pivotFmt>
      <c:pivotFmt>
        <c:idx val="313"/>
        <c:marker>
          <c:symbol val="none"/>
        </c:marker>
      </c:pivotFmt>
      <c:pivotFmt>
        <c:idx val="314"/>
        <c:marker>
          <c:symbol val="none"/>
        </c:marker>
      </c:pivotFmt>
      <c:pivotFmt>
        <c:idx val="315"/>
        <c:marker>
          <c:symbol val="none"/>
        </c:marker>
      </c:pivotFmt>
      <c:pivotFmt>
        <c:idx val="316"/>
        <c:marker>
          <c:symbol val="none"/>
        </c:marker>
      </c:pivotFmt>
      <c:pivotFmt>
        <c:idx val="317"/>
        <c:marker>
          <c:symbol val="none"/>
        </c:marker>
      </c:pivotFmt>
      <c:pivotFmt>
        <c:idx val="318"/>
        <c:marker>
          <c:symbol val="none"/>
        </c:marker>
      </c:pivotFmt>
      <c:pivotFmt>
        <c:idx val="319"/>
        <c:marker>
          <c:symbol val="none"/>
        </c:marker>
      </c:pivotFmt>
      <c:pivotFmt>
        <c:idx val="320"/>
        <c:marker>
          <c:symbol val="none"/>
        </c:marker>
      </c:pivotFmt>
      <c:pivotFmt>
        <c:idx val="321"/>
        <c:marker>
          <c:symbol val="none"/>
        </c:marker>
      </c:pivotFmt>
      <c:pivotFmt>
        <c:idx val="322"/>
        <c:marker>
          <c:symbol val="none"/>
        </c:marker>
      </c:pivotFmt>
      <c:pivotFmt>
        <c:idx val="323"/>
        <c:marker>
          <c:symbol val="none"/>
        </c:marker>
      </c:pivotFmt>
      <c:pivotFmt>
        <c:idx val="324"/>
        <c:marker>
          <c:symbol val="none"/>
        </c:marker>
      </c:pivotFmt>
      <c:pivotFmt>
        <c:idx val="325"/>
        <c:marker>
          <c:symbol val="none"/>
        </c:marker>
      </c:pivotFmt>
      <c:pivotFmt>
        <c:idx val="326"/>
        <c:marker>
          <c:symbol val="none"/>
        </c:marker>
      </c:pivotFmt>
      <c:pivotFmt>
        <c:idx val="327"/>
        <c:marker>
          <c:symbol val="none"/>
        </c:marker>
      </c:pivotFmt>
      <c:pivotFmt>
        <c:idx val="328"/>
        <c:marker>
          <c:symbol val="none"/>
        </c:marker>
      </c:pivotFmt>
      <c:pivotFmt>
        <c:idx val="329"/>
        <c:marker>
          <c:symbol val="none"/>
        </c:marker>
      </c:pivotFmt>
      <c:pivotFmt>
        <c:idx val="330"/>
        <c:marker>
          <c:symbol val="none"/>
        </c:marker>
      </c:pivotFmt>
      <c:pivotFmt>
        <c:idx val="331"/>
        <c:marker>
          <c:symbol val="none"/>
        </c:marker>
      </c:pivotFmt>
      <c:pivotFmt>
        <c:idx val="332"/>
        <c:marker>
          <c:symbol val="none"/>
        </c:marker>
      </c:pivotFmt>
      <c:pivotFmt>
        <c:idx val="333"/>
        <c:marker>
          <c:symbol val="none"/>
        </c:marker>
      </c:pivotFmt>
      <c:pivotFmt>
        <c:idx val="334"/>
        <c:marker>
          <c:symbol val="none"/>
        </c:marker>
      </c:pivotFmt>
      <c:pivotFmt>
        <c:idx val="335"/>
        <c:marker>
          <c:symbol val="none"/>
        </c:marker>
      </c:pivotFmt>
      <c:pivotFmt>
        <c:idx val="336"/>
        <c:marker>
          <c:symbol val="none"/>
        </c:marker>
      </c:pivotFmt>
      <c:pivotFmt>
        <c:idx val="337"/>
        <c:marker>
          <c:symbol val="none"/>
        </c:marker>
      </c:pivotFmt>
      <c:pivotFmt>
        <c:idx val="338"/>
        <c:marker>
          <c:symbol val="none"/>
        </c:marker>
      </c:pivotFmt>
      <c:pivotFmt>
        <c:idx val="339"/>
        <c:marker>
          <c:symbol val="none"/>
        </c:marker>
      </c:pivotFmt>
      <c:pivotFmt>
        <c:idx val="340"/>
        <c:marker>
          <c:symbol val="none"/>
        </c:marker>
      </c:pivotFmt>
      <c:pivotFmt>
        <c:idx val="341"/>
        <c:marker>
          <c:symbol val="none"/>
        </c:marker>
      </c:pivotFmt>
      <c:pivotFmt>
        <c:idx val="342"/>
        <c:marker>
          <c:symbol val="none"/>
        </c:marker>
      </c:pivotFmt>
      <c:pivotFmt>
        <c:idx val="343"/>
        <c:marker>
          <c:symbol val="none"/>
        </c:marker>
      </c:pivotFmt>
      <c:pivotFmt>
        <c:idx val="344"/>
        <c:marker>
          <c:symbol val="none"/>
        </c:marker>
      </c:pivotFmt>
      <c:pivotFmt>
        <c:idx val="345"/>
        <c:marker>
          <c:symbol val="none"/>
        </c:marker>
      </c:pivotFmt>
      <c:pivotFmt>
        <c:idx val="346"/>
        <c:marker>
          <c:symbol val="none"/>
        </c:marker>
      </c:pivotFmt>
      <c:pivotFmt>
        <c:idx val="347"/>
        <c:marker>
          <c:symbol val="none"/>
        </c:marker>
      </c:pivotFmt>
      <c:pivotFmt>
        <c:idx val="348"/>
        <c:marker>
          <c:symbol val="none"/>
        </c:marker>
      </c:pivotFmt>
      <c:pivotFmt>
        <c:idx val="349"/>
        <c:marker>
          <c:symbol val="none"/>
        </c:marker>
      </c:pivotFmt>
      <c:pivotFmt>
        <c:idx val="350"/>
        <c:marker>
          <c:symbol val="none"/>
        </c:marker>
      </c:pivotFmt>
      <c:pivotFmt>
        <c:idx val="351"/>
        <c:marker>
          <c:symbol val="none"/>
        </c:marker>
      </c:pivotFmt>
      <c:pivotFmt>
        <c:idx val="352"/>
        <c:marker>
          <c:symbol val="none"/>
        </c:marker>
      </c:pivotFmt>
      <c:pivotFmt>
        <c:idx val="353"/>
        <c:marker>
          <c:symbol val="none"/>
        </c:marker>
      </c:pivotFmt>
      <c:pivotFmt>
        <c:idx val="354"/>
        <c:marker>
          <c:symbol val="none"/>
        </c:marker>
      </c:pivotFmt>
      <c:pivotFmt>
        <c:idx val="355"/>
        <c:marker>
          <c:symbol val="none"/>
        </c:marker>
      </c:pivotFmt>
      <c:pivotFmt>
        <c:idx val="356"/>
        <c:marker>
          <c:symbol val="none"/>
        </c:marker>
      </c:pivotFmt>
      <c:pivotFmt>
        <c:idx val="357"/>
        <c:marker>
          <c:symbol val="none"/>
        </c:marker>
      </c:pivotFmt>
      <c:pivotFmt>
        <c:idx val="358"/>
        <c:marker>
          <c:symbol val="none"/>
        </c:marker>
      </c:pivotFmt>
      <c:pivotFmt>
        <c:idx val="359"/>
        <c:marker>
          <c:symbol val="none"/>
        </c:marker>
      </c:pivotFmt>
      <c:pivotFmt>
        <c:idx val="360"/>
        <c:marker>
          <c:symbol val="none"/>
        </c:marker>
      </c:pivotFmt>
      <c:pivotFmt>
        <c:idx val="361"/>
        <c:marker>
          <c:symbol val="none"/>
        </c:marker>
      </c:pivotFmt>
      <c:pivotFmt>
        <c:idx val="362"/>
        <c:marker>
          <c:symbol val="none"/>
        </c:marker>
      </c:pivotFmt>
      <c:pivotFmt>
        <c:idx val="363"/>
        <c:marker>
          <c:symbol val="none"/>
        </c:marker>
      </c:pivotFmt>
      <c:pivotFmt>
        <c:idx val="364"/>
        <c:marker>
          <c:symbol val="none"/>
        </c:marker>
      </c:pivotFmt>
      <c:pivotFmt>
        <c:idx val="365"/>
        <c:marker>
          <c:symbol val="none"/>
        </c:marker>
      </c:pivotFmt>
      <c:pivotFmt>
        <c:idx val="366"/>
        <c:marker>
          <c:symbol val="none"/>
        </c:marker>
      </c:pivotFmt>
      <c:pivotFmt>
        <c:idx val="367"/>
        <c:marker>
          <c:symbol val="none"/>
        </c:marker>
      </c:pivotFmt>
      <c:pivotFmt>
        <c:idx val="368"/>
        <c:marker>
          <c:symbol val="none"/>
        </c:marker>
      </c:pivotFmt>
      <c:pivotFmt>
        <c:idx val="369"/>
        <c:marker>
          <c:symbol val="none"/>
        </c:marker>
      </c:pivotFmt>
      <c:pivotFmt>
        <c:idx val="370"/>
        <c:marker>
          <c:symbol val="none"/>
        </c:marker>
      </c:pivotFmt>
      <c:pivotFmt>
        <c:idx val="371"/>
        <c:marker>
          <c:symbol val="none"/>
        </c:marker>
      </c:pivotFmt>
      <c:pivotFmt>
        <c:idx val="372"/>
        <c:marker>
          <c:symbol val="none"/>
        </c:marker>
      </c:pivotFmt>
      <c:pivotFmt>
        <c:idx val="373"/>
        <c:marker>
          <c:symbol val="none"/>
        </c:marker>
      </c:pivotFmt>
      <c:pivotFmt>
        <c:idx val="374"/>
        <c:marker>
          <c:symbol val="none"/>
        </c:marker>
      </c:pivotFmt>
      <c:pivotFmt>
        <c:idx val="375"/>
        <c:marker>
          <c:symbol val="none"/>
        </c:marker>
      </c:pivotFmt>
      <c:pivotFmt>
        <c:idx val="376"/>
        <c:marker>
          <c:symbol val="none"/>
        </c:marker>
      </c:pivotFmt>
      <c:pivotFmt>
        <c:idx val="377"/>
        <c:marker>
          <c:symbol val="none"/>
        </c:marker>
      </c:pivotFmt>
      <c:pivotFmt>
        <c:idx val="378"/>
        <c:marker>
          <c:symbol val="none"/>
        </c:marker>
      </c:pivotFmt>
      <c:pivotFmt>
        <c:idx val="379"/>
        <c:marker>
          <c:symbol val="none"/>
        </c:marker>
      </c:pivotFmt>
      <c:pivotFmt>
        <c:idx val="380"/>
        <c:marker>
          <c:symbol val="none"/>
        </c:marker>
      </c:pivotFmt>
      <c:pivotFmt>
        <c:idx val="381"/>
        <c:marker>
          <c:symbol val="none"/>
        </c:marker>
      </c:pivotFmt>
      <c:pivotFmt>
        <c:idx val="382"/>
        <c:marker>
          <c:symbol val="none"/>
        </c:marker>
      </c:pivotFmt>
      <c:pivotFmt>
        <c:idx val="383"/>
        <c:marker>
          <c:symbol val="none"/>
        </c:marker>
      </c:pivotFmt>
      <c:pivotFmt>
        <c:idx val="384"/>
        <c:marker>
          <c:symbol val="none"/>
        </c:marker>
      </c:pivotFmt>
      <c:pivotFmt>
        <c:idx val="385"/>
        <c:marker>
          <c:symbol val="none"/>
        </c:marker>
      </c:pivotFmt>
      <c:pivotFmt>
        <c:idx val="386"/>
        <c:marker>
          <c:symbol val="none"/>
        </c:marker>
      </c:pivotFmt>
      <c:pivotFmt>
        <c:idx val="387"/>
        <c:marker>
          <c:symbol val="none"/>
        </c:marker>
      </c:pivotFmt>
      <c:pivotFmt>
        <c:idx val="388"/>
        <c:marker>
          <c:symbol val="none"/>
        </c:marker>
      </c:pivotFmt>
      <c:pivotFmt>
        <c:idx val="389"/>
        <c:marker>
          <c:symbol val="none"/>
        </c:marker>
      </c:pivotFmt>
      <c:pivotFmt>
        <c:idx val="390"/>
        <c:marker>
          <c:symbol val="none"/>
        </c:marker>
      </c:pivotFmt>
      <c:pivotFmt>
        <c:idx val="391"/>
        <c:marker>
          <c:symbol val="none"/>
        </c:marker>
      </c:pivotFmt>
      <c:pivotFmt>
        <c:idx val="392"/>
        <c:marker>
          <c:symbol val="none"/>
        </c:marker>
      </c:pivotFmt>
      <c:pivotFmt>
        <c:idx val="393"/>
        <c:marker>
          <c:symbol val="none"/>
        </c:marker>
      </c:pivotFmt>
      <c:pivotFmt>
        <c:idx val="394"/>
        <c:marker>
          <c:symbol val="none"/>
        </c:marker>
      </c:pivotFmt>
      <c:pivotFmt>
        <c:idx val="395"/>
        <c:marker>
          <c:symbol val="none"/>
        </c:marker>
      </c:pivotFmt>
      <c:pivotFmt>
        <c:idx val="396"/>
        <c:marker>
          <c:symbol val="none"/>
        </c:marker>
      </c:pivotFmt>
      <c:pivotFmt>
        <c:idx val="397"/>
        <c:marker>
          <c:symbol val="none"/>
        </c:marker>
      </c:pivotFmt>
      <c:pivotFmt>
        <c:idx val="398"/>
        <c:marker>
          <c:symbol val="none"/>
        </c:marker>
      </c:pivotFmt>
      <c:pivotFmt>
        <c:idx val="399"/>
        <c:marker>
          <c:symbol val="none"/>
        </c:marker>
      </c:pivotFmt>
      <c:pivotFmt>
        <c:idx val="400"/>
        <c:marker>
          <c:symbol val="none"/>
        </c:marker>
      </c:pivotFmt>
      <c:pivotFmt>
        <c:idx val="401"/>
        <c:marker>
          <c:symbol val="none"/>
        </c:marker>
      </c:pivotFmt>
      <c:pivotFmt>
        <c:idx val="402"/>
        <c:marker>
          <c:symbol val="none"/>
        </c:marker>
      </c:pivotFmt>
      <c:pivotFmt>
        <c:idx val="403"/>
        <c:marker>
          <c:symbol val="none"/>
        </c:marker>
      </c:pivotFmt>
      <c:pivotFmt>
        <c:idx val="404"/>
        <c:marker>
          <c:symbol val="none"/>
        </c:marker>
      </c:pivotFmt>
      <c:pivotFmt>
        <c:idx val="405"/>
        <c:marker>
          <c:symbol val="none"/>
        </c:marker>
      </c:pivotFmt>
      <c:pivotFmt>
        <c:idx val="406"/>
        <c:marker>
          <c:symbol val="none"/>
        </c:marker>
      </c:pivotFmt>
      <c:pivotFmt>
        <c:idx val="407"/>
        <c:marker>
          <c:symbol val="none"/>
        </c:marker>
      </c:pivotFmt>
      <c:pivotFmt>
        <c:idx val="408"/>
        <c:marker>
          <c:symbol val="none"/>
        </c:marker>
      </c:pivotFmt>
      <c:pivotFmt>
        <c:idx val="409"/>
        <c:marker>
          <c:symbol val="none"/>
        </c:marker>
      </c:pivotFmt>
      <c:pivotFmt>
        <c:idx val="410"/>
        <c:marker>
          <c:symbol val="none"/>
        </c:marker>
      </c:pivotFmt>
      <c:pivotFmt>
        <c:idx val="411"/>
        <c:marker>
          <c:symbol val="none"/>
        </c:marker>
      </c:pivotFmt>
      <c:pivotFmt>
        <c:idx val="412"/>
        <c:marker>
          <c:symbol val="none"/>
        </c:marker>
      </c:pivotFmt>
      <c:pivotFmt>
        <c:idx val="413"/>
        <c:marker>
          <c:symbol val="none"/>
        </c:marker>
      </c:pivotFmt>
      <c:pivotFmt>
        <c:idx val="414"/>
        <c:marker>
          <c:symbol val="none"/>
        </c:marker>
      </c:pivotFmt>
      <c:pivotFmt>
        <c:idx val="415"/>
        <c:marker>
          <c:symbol val="none"/>
        </c:marker>
      </c:pivotFmt>
      <c:pivotFmt>
        <c:idx val="416"/>
        <c:marker>
          <c:symbol val="none"/>
        </c:marker>
      </c:pivotFmt>
      <c:pivotFmt>
        <c:idx val="417"/>
        <c:marker>
          <c:symbol val="none"/>
        </c:marker>
      </c:pivotFmt>
      <c:pivotFmt>
        <c:idx val="418"/>
        <c:marker>
          <c:symbol val="none"/>
        </c:marker>
      </c:pivotFmt>
      <c:pivotFmt>
        <c:idx val="419"/>
        <c:marker>
          <c:symbol val="none"/>
        </c:marker>
      </c:pivotFmt>
      <c:pivotFmt>
        <c:idx val="420"/>
        <c:marker>
          <c:symbol val="none"/>
        </c:marker>
      </c:pivotFmt>
      <c:pivotFmt>
        <c:idx val="421"/>
        <c:marker>
          <c:symbol val="none"/>
        </c:marker>
      </c:pivotFmt>
      <c:pivotFmt>
        <c:idx val="422"/>
        <c:marker>
          <c:symbol val="none"/>
        </c:marker>
      </c:pivotFmt>
      <c:pivotFmt>
        <c:idx val="423"/>
        <c:marker>
          <c:symbol val="none"/>
        </c:marker>
      </c:pivotFmt>
      <c:pivotFmt>
        <c:idx val="424"/>
        <c:marker>
          <c:symbol val="none"/>
        </c:marker>
      </c:pivotFmt>
      <c:pivotFmt>
        <c:idx val="425"/>
        <c:marker>
          <c:symbol val="none"/>
        </c:marker>
      </c:pivotFmt>
      <c:pivotFmt>
        <c:idx val="426"/>
        <c:marker>
          <c:symbol val="none"/>
        </c:marker>
      </c:pivotFmt>
      <c:pivotFmt>
        <c:idx val="427"/>
        <c:marker>
          <c:symbol val="none"/>
        </c:marker>
      </c:pivotFmt>
      <c:pivotFmt>
        <c:idx val="428"/>
        <c:marker>
          <c:symbol val="none"/>
        </c:marker>
      </c:pivotFmt>
      <c:pivotFmt>
        <c:idx val="429"/>
        <c:marker>
          <c:symbol val="none"/>
        </c:marker>
      </c:pivotFmt>
      <c:pivotFmt>
        <c:idx val="430"/>
        <c:marker>
          <c:symbol val="none"/>
        </c:marker>
      </c:pivotFmt>
      <c:pivotFmt>
        <c:idx val="431"/>
        <c:marker>
          <c:symbol val="none"/>
        </c:marker>
        <c:dLbl>
          <c:idx val="0"/>
          <c:numFmt formatCode="#,##0.00" sourceLinked="0"/>
          <c:spPr/>
          <c:txPr>
            <a:bodyPr/>
            <a:lstStyle/>
            <a:p>
              <a:pPr>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32"/>
        <c:marker>
          <c:symbol val="none"/>
        </c:marker>
        <c:dLbl>
          <c:idx val="0"/>
          <c:numFmt formatCode="#,##0.00" sourceLinked="0"/>
          <c:spPr/>
          <c:txPr>
            <a:bodyPr/>
            <a:lstStyle/>
            <a:p>
              <a:pPr>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33"/>
        <c:marker>
          <c:symbol val="none"/>
        </c:marker>
        <c:dLbl>
          <c:idx val="0"/>
          <c:numFmt formatCode="#,##0.00" sourceLinked="0"/>
          <c:spPr/>
          <c:txPr>
            <a:bodyPr/>
            <a:lstStyle/>
            <a:p>
              <a:pPr>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34"/>
        <c:marker>
          <c:symbol val="none"/>
        </c:marker>
      </c:pivotFmt>
      <c:pivotFmt>
        <c:idx val="435"/>
        <c:marker>
          <c:symbol val="none"/>
        </c:marker>
      </c:pivotFmt>
      <c:pivotFmt>
        <c:idx val="436"/>
        <c:marker>
          <c:symbol val="none"/>
        </c:marker>
      </c:pivotFmt>
      <c:pivotFmt>
        <c:idx val="437"/>
        <c:marker>
          <c:symbol val="none"/>
        </c:marker>
      </c:pivotFmt>
      <c:pivotFmt>
        <c:idx val="438"/>
        <c:marker>
          <c:symbol val="none"/>
        </c:marker>
      </c:pivotFmt>
      <c:pivotFmt>
        <c:idx val="439"/>
        <c:marker>
          <c:symbol val="none"/>
        </c:marker>
      </c:pivotFmt>
      <c:pivotFmt>
        <c:idx val="440"/>
        <c:marker>
          <c:symbol val="none"/>
        </c:marker>
      </c:pivotFmt>
      <c:pivotFmt>
        <c:idx val="441"/>
        <c:marker>
          <c:symbol val="none"/>
        </c:marker>
      </c:pivotFmt>
      <c:pivotFmt>
        <c:idx val="442"/>
        <c:marker>
          <c:symbol val="none"/>
        </c:marker>
      </c:pivotFmt>
      <c:pivotFmt>
        <c:idx val="443"/>
        <c:marker>
          <c:symbol val="none"/>
        </c:marker>
      </c:pivotFmt>
      <c:pivotFmt>
        <c:idx val="444"/>
        <c:marker>
          <c:symbol val="none"/>
        </c:marker>
      </c:pivotFmt>
      <c:pivotFmt>
        <c:idx val="445"/>
        <c:marker>
          <c:symbol val="none"/>
        </c:marker>
      </c:pivotFmt>
      <c:pivotFmt>
        <c:idx val="446"/>
        <c:marker>
          <c:symbol val="none"/>
        </c:marker>
      </c:pivotFmt>
      <c:pivotFmt>
        <c:idx val="447"/>
        <c:marker>
          <c:symbol val="none"/>
        </c:marker>
      </c:pivotFmt>
      <c:pivotFmt>
        <c:idx val="448"/>
        <c:marker>
          <c:symbol val="none"/>
        </c:marker>
      </c:pivotFmt>
      <c:pivotFmt>
        <c:idx val="449"/>
        <c:marker>
          <c:symbol val="none"/>
        </c:marker>
      </c:pivotFmt>
      <c:pivotFmt>
        <c:idx val="450"/>
        <c:marker>
          <c:symbol val="none"/>
        </c:marker>
      </c:pivotFmt>
      <c:pivotFmt>
        <c:idx val="451"/>
        <c:marker>
          <c:symbol val="none"/>
        </c:marker>
      </c:pivotFmt>
      <c:pivotFmt>
        <c:idx val="452"/>
        <c:marker>
          <c:symbol val="none"/>
        </c:marker>
      </c:pivotFmt>
      <c:pivotFmt>
        <c:idx val="453"/>
        <c:marker>
          <c:symbol val="none"/>
        </c:marker>
      </c:pivotFmt>
      <c:pivotFmt>
        <c:idx val="454"/>
        <c:marker>
          <c:symbol val="none"/>
        </c:marker>
      </c:pivotFmt>
      <c:pivotFmt>
        <c:idx val="455"/>
        <c:marker>
          <c:symbol val="none"/>
        </c:marker>
      </c:pivotFmt>
      <c:pivotFmt>
        <c:idx val="456"/>
        <c:marker>
          <c:symbol val="none"/>
        </c:marker>
      </c:pivotFmt>
      <c:pivotFmt>
        <c:idx val="457"/>
        <c:marker>
          <c:symbol val="none"/>
        </c:marker>
      </c:pivotFmt>
      <c:pivotFmt>
        <c:idx val="458"/>
        <c:marker>
          <c:symbol val="none"/>
        </c:marker>
      </c:pivotFmt>
      <c:pivotFmt>
        <c:idx val="459"/>
        <c:marker>
          <c:symbol val="none"/>
        </c:marker>
      </c:pivotFmt>
      <c:pivotFmt>
        <c:idx val="460"/>
        <c:marker>
          <c:symbol val="none"/>
        </c:marker>
      </c:pivotFmt>
      <c:pivotFmt>
        <c:idx val="461"/>
        <c:marker>
          <c:symbol val="none"/>
        </c:marker>
      </c:pivotFmt>
      <c:pivotFmt>
        <c:idx val="462"/>
        <c:marker>
          <c:symbol val="none"/>
        </c:marker>
      </c:pivotFmt>
      <c:pivotFmt>
        <c:idx val="463"/>
        <c:marker>
          <c:symbol val="none"/>
        </c:marker>
      </c:pivotFmt>
      <c:pivotFmt>
        <c:idx val="464"/>
        <c:marker>
          <c:symbol val="none"/>
        </c:marker>
      </c:pivotFmt>
      <c:pivotFmt>
        <c:idx val="465"/>
        <c:marker>
          <c:symbol val="none"/>
        </c:marker>
      </c:pivotFmt>
      <c:pivotFmt>
        <c:idx val="466"/>
        <c:marker>
          <c:symbol val="none"/>
        </c:marker>
      </c:pivotFmt>
      <c:pivotFmt>
        <c:idx val="467"/>
        <c:marker>
          <c:symbol val="none"/>
        </c:marker>
      </c:pivotFmt>
      <c:pivotFmt>
        <c:idx val="468"/>
        <c:marker>
          <c:symbol val="none"/>
        </c:marker>
      </c:pivotFmt>
      <c:pivotFmt>
        <c:idx val="469"/>
        <c:marker>
          <c:symbol val="none"/>
        </c:marker>
      </c:pivotFmt>
      <c:pivotFmt>
        <c:idx val="470"/>
        <c:marker>
          <c:symbol val="none"/>
        </c:marker>
      </c:pivotFmt>
      <c:pivotFmt>
        <c:idx val="471"/>
        <c:marker>
          <c:symbol val="none"/>
        </c:marker>
      </c:pivotFmt>
      <c:pivotFmt>
        <c:idx val="472"/>
        <c:marker>
          <c:symbol val="none"/>
        </c:marker>
      </c:pivotFmt>
      <c:pivotFmt>
        <c:idx val="473"/>
        <c:marker>
          <c:symbol val="none"/>
        </c:marker>
      </c:pivotFmt>
      <c:pivotFmt>
        <c:idx val="474"/>
        <c:marker>
          <c:symbol val="none"/>
        </c:marker>
      </c:pivotFmt>
      <c:pivotFmt>
        <c:idx val="475"/>
        <c:marker>
          <c:symbol val="none"/>
        </c:marker>
      </c:pivotFmt>
      <c:pivotFmt>
        <c:idx val="476"/>
        <c:marker>
          <c:symbol val="none"/>
        </c:marker>
      </c:pivotFmt>
      <c:pivotFmt>
        <c:idx val="477"/>
        <c:marker>
          <c:symbol val="none"/>
        </c:marker>
      </c:pivotFmt>
      <c:pivotFmt>
        <c:idx val="478"/>
        <c:marker>
          <c:symbol val="none"/>
        </c:marker>
      </c:pivotFmt>
      <c:pivotFmt>
        <c:idx val="479"/>
        <c:marker>
          <c:symbol val="none"/>
        </c:marker>
      </c:pivotFmt>
      <c:pivotFmt>
        <c:idx val="480"/>
        <c:marker>
          <c:symbol val="none"/>
        </c:marker>
      </c:pivotFmt>
      <c:pivotFmt>
        <c:idx val="481"/>
        <c:marker>
          <c:symbol val="none"/>
        </c:marker>
      </c:pivotFmt>
      <c:pivotFmt>
        <c:idx val="482"/>
        <c:marker>
          <c:symbol val="none"/>
        </c:marker>
      </c:pivotFmt>
      <c:pivotFmt>
        <c:idx val="483"/>
        <c:marker>
          <c:symbol val="none"/>
        </c:marker>
      </c:pivotFmt>
      <c:pivotFmt>
        <c:idx val="484"/>
        <c:marker>
          <c:symbol val="none"/>
        </c:marker>
      </c:pivotFmt>
      <c:pivotFmt>
        <c:idx val="485"/>
        <c:marker>
          <c:symbol val="none"/>
        </c:marker>
      </c:pivotFmt>
      <c:pivotFmt>
        <c:idx val="486"/>
        <c:marker>
          <c:symbol val="none"/>
        </c:marker>
      </c:pivotFmt>
      <c:pivotFmt>
        <c:idx val="487"/>
        <c:marker>
          <c:symbol val="none"/>
        </c:marker>
      </c:pivotFmt>
      <c:pivotFmt>
        <c:idx val="488"/>
        <c:marker>
          <c:symbol val="none"/>
        </c:marker>
      </c:pivotFmt>
      <c:pivotFmt>
        <c:idx val="489"/>
        <c:marker>
          <c:symbol val="none"/>
        </c:marker>
      </c:pivotFmt>
      <c:pivotFmt>
        <c:idx val="490"/>
        <c:marker>
          <c:symbol val="none"/>
        </c:marker>
      </c:pivotFmt>
      <c:pivotFmt>
        <c:idx val="491"/>
        <c:marker>
          <c:symbol val="none"/>
        </c:marker>
      </c:pivotFmt>
      <c:pivotFmt>
        <c:idx val="492"/>
        <c:marker>
          <c:symbol val="none"/>
        </c:marker>
      </c:pivotFmt>
      <c:pivotFmt>
        <c:idx val="493"/>
        <c:marker>
          <c:symbol val="none"/>
        </c:marker>
      </c:pivotFmt>
      <c:pivotFmt>
        <c:idx val="494"/>
        <c:marker>
          <c:symbol val="none"/>
        </c:marker>
      </c:pivotFmt>
      <c:pivotFmt>
        <c:idx val="495"/>
        <c:marker>
          <c:symbol val="none"/>
        </c:marker>
      </c:pivotFmt>
      <c:pivotFmt>
        <c:idx val="496"/>
        <c:marker>
          <c:symbol val="none"/>
        </c:marker>
      </c:pivotFmt>
      <c:pivotFmt>
        <c:idx val="497"/>
        <c:marker>
          <c:symbol val="none"/>
        </c:marker>
      </c:pivotFmt>
      <c:pivotFmt>
        <c:idx val="498"/>
        <c:marker>
          <c:symbol val="none"/>
        </c:marker>
      </c:pivotFmt>
      <c:pivotFmt>
        <c:idx val="499"/>
        <c:marker>
          <c:symbol val="none"/>
        </c:marker>
      </c:pivotFmt>
      <c:pivotFmt>
        <c:idx val="500"/>
        <c:marker>
          <c:symbol val="none"/>
        </c:marker>
      </c:pivotFmt>
      <c:pivotFmt>
        <c:idx val="501"/>
        <c:marker>
          <c:symbol val="none"/>
        </c:marker>
      </c:pivotFmt>
      <c:pivotFmt>
        <c:idx val="502"/>
        <c:marker>
          <c:symbol val="none"/>
        </c:marker>
      </c:pivotFmt>
      <c:pivotFmt>
        <c:idx val="503"/>
        <c:marker>
          <c:symbol val="none"/>
        </c:marker>
      </c:pivotFmt>
      <c:pivotFmt>
        <c:idx val="504"/>
        <c:marker>
          <c:symbol val="none"/>
        </c:marker>
      </c:pivotFmt>
      <c:pivotFmt>
        <c:idx val="505"/>
        <c:marker>
          <c:symbol val="none"/>
        </c:marker>
      </c:pivotFmt>
      <c:pivotFmt>
        <c:idx val="506"/>
        <c:marker>
          <c:symbol val="none"/>
        </c:marker>
      </c:pivotFmt>
      <c:pivotFmt>
        <c:idx val="507"/>
        <c:marker>
          <c:symbol val="none"/>
        </c:marker>
      </c:pivotFmt>
      <c:pivotFmt>
        <c:idx val="508"/>
        <c:marker>
          <c:symbol val="none"/>
        </c:marker>
      </c:pivotFmt>
      <c:pivotFmt>
        <c:idx val="509"/>
        <c:marker>
          <c:symbol val="none"/>
        </c:marker>
      </c:pivotFmt>
      <c:pivotFmt>
        <c:idx val="510"/>
        <c:marker>
          <c:symbol val="none"/>
        </c:marker>
      </c:pivotFmt>
      <c:pivotFmt>
        <c:idx val="511"/>
        <c:marker>
          <c:symbol val="none"/>
        </c:marker>
      </c:pivotFmt>
      <c:pivotFmt>
        <c:idx val="512"/>
        <c:marker>
          <c:symbol val="none"/>
        </c:marker>
      </c:pivotFmt>
      <c:pivotFmt>
        <c:idx val="513"/>
        <c:marker>
          <c:symbol val="none"/>
        </c:marker>
      </c:pivotFmt>
      <c:pivotFmt>
        <c:idx val="514"/>
        <c:marker>
          <c:symbol val="none"/>
        </c:marker>
      </c:pivotFmt>
      <c:pivotFmt>
        <c:idx val="515"/>
        <c:marker>
          <c:symbol val="none"/>
        </c:marker>
      </c:pivotFmt>
      <c:pivotFmt>
        <c:idx val="516"/>
        <c:marker>
          <c:symbol val="none"/>
        </c:marker>
      </c:pivotFmt>
      <c:pivotFmt>
        <c:idx val="517"/>
        <c:marker>
          <c:symbol val="none"/>
        </c:marker>
      </c:pivotFmt>
      <c:pivotFmt>
        <c:idx val="518"/>
        <c:marker>
          <c:symbol val="none"/>
        </c:marker>
      </c:pivotFmt>
      <c:pivotFmt>
        <c:idx val="519"/>
        <c:marker>
          <c:symbol val="none"/>
        </c:marker>
      </c:pivotFmt>
      <c:pivotFmt>
        <c:idx val="520"/>
        <c:marker>
          <c:symbol val="none"/>
        </c:marker>
      </c:pivotFmt>
      <c:pivotFmt>
        <c:idx val="521"/>
        <c:marker>
          <c:symbol val="none"/>
        </c:marker>
      </c:pivotFmt>
      <c:pivotFmt>
        <c:idx val="522"/>
        <c:marker>
          <c:symbol val="none"/>
        </c:marker>
      </c:pivotFmt>
      <c:pivotFmt>
        <c:idx val="523"/>
        <c:marker>
          <c:symbol val="none"/>
        </c:marker>
      </c:pivotFmt>
      <c:pivotFmt>
        <c:idx val="524"/>
        <c:marker>
          <c:symbol val="none"/>
        </c:marker>
      </c:pivotFmt>
      <c:pivotFmt>
        <c:idx val="525"/>
        <c:marker>
          <c:symbol val="none"/>
        </c:marker>
      </c:pivotFmt>
      <c:pivotFmt>
        <c:idx val="526"/>
        <c:marker>
          <c:symbol val="none"/>
        </c:marker>
      </c:pivotFmt>
      <c:pivotFmt>
        <c:idx val="527"/>
        <c:marker>
          <c:symbol val="none"/>
        </c:marker>
      </c:pivotFmt>
      <c:pivotFmt>
        <c:idx val="528"/>
        <c:marker>
          <c:symbol val="none"/>
        </c:marker>
      </c:pivotFmt>
      <c:pivotFmt>
        <c:idx val="529"/>
        <c:marker>
          <c:symbol val="none"/>
        </c:marker>
      </c:pivotFmt>
      <c:pivotFmt>
        <c:idx val="530"/>
        <c:marker>
          <c:symbol val="none"/>
        </c:marker>
      </c:pivotFmt>
      <c:pivotFmt>
        <c:idx val="531"/>
        <c:marker>
          <c:symbol val="none"/>
        </c:marker>
      </c:pivotFmt>
      <c:pivotFmt>
        <c:idx val="532"/>
        <c:marker>
          <c:symbol val="none"/>
        </c:marker>
      </c:pivotFmt>
      <c:pivotFmt>
        <c:idx val="533"/>
        <c:marker>
          <c:symbol val="none"/>
        </c:marker>
      </c:pivotFmt>
      <c:pivotFmt>
        <c:idx val="534"/>
        <c:marker>
          <c:symbol val="none"/>
        </c:marker>
      </c:pivotFmt>
      <c:pivotFmt>
        <c:idx val="535"/>
        <c:marker>
          <c:symbol val="none"/>
        </c:marker>
      </c:pivotFmt>
      <c:pivotFmt>
        <c:idx val="536"/>
        <c:marker>
          <c:symbol val="none"/>
        </c:marker>
      </c:pivotFmt>
      <c:pivotFmt>
        <c:idx val="537"/>
        <c:marker>
          <c:symbol val="none"/>
        </c:marker>
      </c:pivotFmt>
      <c:pivotFmt>
        <c:idx val="538"/>
        <c:marker>
          <c:symbol val="none"/>
        </c:marker>
      </c:pivotFmt>
      <c:pivotFmt>
        <c:idx val="539"/>
        <c:marker>
          <c:symbol val="none"/>
        </c:marker>
      </c:pivotFmt>
      <c:pivotFmt>
        <c:idx val="540"/>
        <c:marker>
          <c:symbol val="none"/>
        </c:marker>
      </c:pivotFmt>
      <c:pivotFmt>
        <c:idx val="541"/>
        <c:marker>
          <c:symbol val="none"/>
        </c:marker>
      </c:pivotFmt>
      <c:pivotFmt>
        <c:idx val="542"/>
        <c:marker>
          <c:symbol val="none"/>
        </c:marker>
      </c:pivotFmt>
      <c:pivotFmt>
        <c:idx val="543"/>
        <c:marker>
          <c:symbol val="none"/>
        </c:marker>
      </c:pivotFmt>
      <c:pivotFmt>
        <c:idx val="544"/>
        <c:marker>
          <c:symbol val="none"/>
        </c:marker>
      </c:pivotFmt>
      <c:pivotFmt>
        <c:idx val="545"/>
        <c:marker>
          <c:symbol val="none"/>
        </c:marker>
      </c:pivotFmt>
      <c:pivotFmt>
        <c:idx val="546"/>
        <c:marker>
          <c:symbol val="none"/>
        </c:marker>
      </c:pivotFmt>
      <c:pivotFmt>
        <c:idx val="547"/>
        <c:marker>
          <c:symbol val="none"/>
        </c:marker>
      </c:pivotFmt>
      <c:pivotFmt>
        <c:idx val="548"/>
        <c:marker>
          <c:symbol val="none"/>
        </c:marker>
      </c:pivotFmt>
      <c:pivotFmt>
        <c:idx val="549"/>
        <c:marker>
          <c:symbol val="none"/>
        </c:marker>
      </c:pivotFmt>
      <c:pivotFmt>
        <c:idx val="550"/>
        <c:marker>
          <c:symbol val="none"/>
        </c:marker>
      </c:pivotFmt>
      <c:pivotFmt>
        <c:idx val="551"/>
        <c:marker>
          <c:symbol val="none"/>
        </c:marker>
      </c:pivotFmt>
      <c:pivotFmt>
        <c:idx val="552"/>
        <c:marker>
          <c:symbol val="none"/>
        </c:marker>
      </c:pivotFmt>
      <c:pivotFmt>
        <c:idx val="553"/>
        <c:marker>
          <c:symbol val="none"/>
        </c:marker>
      </c:pivotFmt>
      <c:pivotFmt>
        <c:idx val="554"/>
        <c:marker>
          <c:symbol val="none"/>
        </c:marker>
      </c:pivotFmt>
      <c:pivotFmt>
        <c:idx val="555"/>
        <c:marker>
          <c:symbol val="none"/>
        </c:marker>
      </c:pivotFmt>
      <c:pivotFmt>
        <c:idx val="556"/>
        <c:marker>
          <c:symbol val="none"/>
        </c:marker>
      </c:pivotFmt>
      <c:pivotFmt>
        <c:idx val="557"/>
        <c:marker>
          <c:symbol val="none"/>
        </c:marker>
      </c:pivotFmt>
      <c:pivotFmt>
        <c:idx val="558"/>
        <c:marker>
          <c:symbol val="none"/>
        </c:marker>
      </c:pivotFmt>
      <c:pivotFmt>
        <c:idx val="559"/>
        <c:marker>
          <c:symbol val="none"/>
        </c:marker>
      </c:pivotFmt>
      <c:pivotFmt>
        <c:idx val="560"/>
        <c:marker>
          <c:symbol val="none"/>
        </c:marker>
      </c:pivotFmt>
      <c:pivotFmt>
        <c:idx val="561"/>
        <c:marker>
          <c:symbol val="none"/>
        </c:marker>
      </c:pivotFmt>
      <c:pivotFmt>
        <c:idx val="562"/>
        <c:marker>
          <c:symbol val="none"/>
        </c:marker>
      </c:pivotFmt>
      <c:pivotFmt>
        <c:idx val="563"/>
        <c:marker>
          <c:symbol val="none"/>
        </c:marker>
      </c:pivotFmt>
      <c:pivotFmt>
        <c:idx val="564"/>
        <c:marker>
          <c:symbol val="none"/>
        </c:marker>
      </c:pivotFmt>
      <c:pivotFmt>
        <c:idx val="565"/>
        <c:marker>
          <c:symbol val="none"/>
        </c:marker>
      </c:pivotFmt>
      <c:pivotFmt>
        <c:idx val="566"/>
        <c:marker>
          <c:symbol val="none"/>
        </c:marker>
      </c:pivotFmt>
      <c:pivotFmt>
        <c:idx val="567"/>
        <c:marker>
          <c:symbol val="none"/>
        </c:marker>
      </c:pivotFmt>
      <c:pivotFmt>
        <c:idx val="568"/>
        <c:marker>
          <c:symbol val="none"/>
        </c:marker>
      </c:pivotFmt>
      <c:pivotFmt>
        <c:idx val="569"/>
        <c:marker>
          <c:symbol val="none"/>
        </c:marker>
      </c:pivotFmt>
      <c:pivotFmt>
        <c:idx val="570"/>
        <c:marker>
          <c:symbol val="none"/>
        </c:marker>
      </c:pivotFmt>
      <c:pivotFmt>
        <c:idx val="571"/>
        <c:marker>
          <c:symbol val="none"/>
        </c:marker>
      </c:pivotFmt>
      <c:pivotFmt>
        <c:idx val="572"/>
        <c:marker>
          <c:symbol val="none"/>
        </c:marker>
      </c:pivotFmt>
      <c:pivotFmt>
        <c:idx val="573"/>
        <c:marker>
          <c:symbol val="none"/>
        </c:marker>
      </c:pivotFmt>
      <c:pivotFmt>
        <c:idx val="574"/>
        <c:marker>
          <c:symbol val="none"/>
        </c:marker>
      </c:pivotFmt>
      <c:pivotFmt>
        <c:idx val="575"/>
        <c:marker>
          <c:symbol val="none"/>
        </c:marker>
      </c:pivotFmt>
      <c:pivotFmt>
        <c:idx val="576"/>
        <c:marker>
          <c:symbol val="none"/>
        </c:marker>
      </c:pivotFmt>
      <c:pivotFmt>
        <c:idx val="577"/>
        <c:marker>
          <c:symbol val="none"/>
        </c:marker>
      </c:pivotFmt>
      <c:pivotFmt>
        <c:idx val="578"/>
        <c:marker>
          <c:symbol val="none"/>
        </c:marker>
      </c:pivotFmt>
      <c:pivotFmt>
        <c:idx val="579"/>
        <c:marker>
          <c:symbol val="none"/>
        </c:marker>
      </c:pivotFmt>
      <c:pivotFmt>
        <c:idx val="580"/>
        <c:marker>
          <c:symbol val="none"/>
        </c:marker>
      </c:pivotFmt>
      <c:pivotFmt>
        <c:idx val="581"/>
        <c:marker>
          <c:symbol val="none"/>
        </c:marker>
      </c:pivotFmt>
      <c:pivotFmt>
        <c:idx val="582"/>
        <c:marker>
          <c:symbol val="none"/>
        </c:marker>
      </c:pivotFmt>
      <c:pivotFmt>
        <c:idx val="583"/>
        <c:marker>
          <c:symbol val="none"/>
        </c:marker>
      </c:pivotFmt>
      <c:pivotFmt>
        <c:idx val="584"/>
        <c:marker>
          <c:symbol val="none"/>
        </c:marker>
      </c:pivotFmt>
      <c:pivotFmt>
        <c:idx val="585"/>
        <c:marker>
          <c:symbol val="none"/>
        </c:marker>
      </c:pivotFmt>
      <c:pivotFmt>
        <c:idx val="586"/>
        <c:marker>
          <c:symbol val="none"/>
        </c:marker>
      </c:pivotFmt>
      <c:pivotFmt>
        <c:idx val="587"/>
        <c:marker>
          <c:symbol val="none"/>
        </c:marker>
      </c:pivotFmt>
      <c:pivotFmt>
        <c:idx val="588"/>
        <c:marker>
          <c:symbol val="none"/>
        </c:marker>
      </c:pivotFmt>
      <c:pivotFmt>
        <c:idx val="589"/>
        <c:marker>
          <c:symbol val="none"/>
        </c:marker>
      </c:pivotFmt>
      <c:pivotFmt>
        <c:idx val="590"/>
        <c:marker>
          <c:symbol val="none"/>
        </c:marker>
      </c:pivotFmt>
      <c:pivotFmt>
        <c:idx val="591"/>
        <c:marker>
          <c:symbol val="none"/>
        </c:marker>
      </c:pivotFmt>
      <c:pivotFmt>
        <c:idx val="592"/>
        <c:marker>
          <c:symbol val="none"/>
        </c:marker>
      </c:pivotFmt>
      <c:pivotFmt>
        <c:idx val="593"/>
        <c:marker>
          <c:symbol val="none"/>
        </c:marker>
      </c:pivotFmt>
      <c:pivotFmt>
        <c:idx val="594"/>
        <c:marker>
          <c:symbol val="none"/>
        </c:marker>
      </c:pivotFmt>
      <c:pivotFmt>
        <c:idx val="595"/>
        <c:marker>
          <c:symbol val="none"/>
        </c:marker>
      </c:pivotFmt>
      <c:pivotFmt>
        <c:idx val="596"/>
        <c:marker>
          <c:symbol val="none"/>
        </c:marker>
      </c:pivotFmt>
      <c:pivotFmt>
        <c:idx val="597"/>
        <c:marker>
          <c:symbol val="none"/>
        </c:marker>
      </c:pivotFmt>
      <c:pivotFmt>
        <c:idx val="598"/>
        <c:marker>
          <c:symbol val="none"/>
        </c:marker>
      </c:pivotFmt>
      <c:pivotFmt>
        <c:idx val="599"/>
        <c:marker>
          <c:symbol val="none"/>
        </c:marker>
      </c:pivotFmt>
      <c:pivotFmt>
        <c:idx val="600"/>
        <c:marker>
          <c:symbol val="none"/>
        </c:marker>
      </c:pivotFmt>
      <c:pivotFmt>
        <c:idx val="601"/>
        <c:marker>
          <c:symbol val="none"/>
        </c:marker>
      </c:pivotFmt>
      <c:pivotFmt>
        <c:idx val="602"/>
        <c:marker>
          <c:symbol val="none"/>
        </c:marker>
      </c:pivotFmt>
      <c:pivotFmt>
        <c:idx val="603"/>
        <c:marker>
          <c:symbol val="none"/>
        </c:marker>
      </c:pivotFmt>
      <c:pivotFmt>
        <c:idx val="604"/>
        <c:marker>
          <c:symbol val="none"/>
        </c:marker>
      </c:pivotFmt>
      <c:pivotFmt>
        <c:idx val="605"/>
        <c:marker>
          <c:symbol val="none"/>
        </c:marker>
      </c:pivotFmt>
      <c:pivotFmt>
        <c:idx val="606"/>
        <c:marker>
          <c:symbol val="none"/>
        </c:marker>
      </c:pivotFmt>
      <c:pivotFmt>
        <c:idx val="607"/>
        <c:marker>
          <c:symbol val="none"/>
        </c:marker>
      </c:pivotFmt>
      <c:pivotFmt>
        <c:idx val="608"/>
        <c:marker>
          <c:symbol val="none"/>
        </c:marker>
      </c:pivotFmt>
      <c:pivotFmt>
        <c:idx val="609"/>
        <c:marker>
          <c:symbol val="none"/>
        </c:marker>
      </c:pivotFmt>
      <c:pivotFmt>
        <c:idx val="610"/>
        <c:marker>
          <c:symbol val="none"/>
        </c:marker>
      </c:pivotFmt>
      <c:pivotFmt>
        <c:idx val="611"/>
        <c:marker>
          <c:symbol val="none"/>
        </c:marker>
      </c:pivotFmt>
      <c:pivotFmt>
        <c:idx val="612"/>
        <c:marker>
          <c:symbol val="none"/>
        </c:marker>
      </c:pivotFmt>
      <c:pivotFmt>
        <c:idx val="613"/>
        <c:marker>
          <c:symbol val="none"/>
        </c:marker>
      </c:pivotFmt>
      <c:pivotFmt>
        <c:idx val="614"/>
        <c:marker>
          <c:symbol val="none"/>
        </c:marker>
      </c:pivotFmt>
      <c:pivotFmt>
        <c:idx val="615"/>
        <c:marker>
          <c:symbol val="none"/>
        </c:marker>
      </c:pivotFmt>
      <c:pivotFmt>
        <c:idx val="616"/>
        <c:marker>
          <c:symbol val="none"/>
        </c:marker>
      </c:pivotFmt>
      <c:pivotFmt>
        <c:idx val="617"/>
        <c:marker>
          <c:symbol val="none"/>
        </c:marker>
      </c:pivotFmt>
      <c:pivotFmt>
        <c:idx val="618"/>
        <c:marker>
          <c:symbol val="none"/>
        </c:marker>
      </c:pivotFmt>
      <c:pivotFmt>
        <c:idx val="619"/>
        <c:marker>
          <c:symbol val="none"/>
        </c:marker>
      </c:pivotFmt>
      <c:pivotFmt>
        <c:idx val="620"/>
        <c:marker>
          <c:symbol val="none"/>
        </c:marker>
      </c:pivotFmt>
      <c:pivotFmt>
        <c:idx val="621"/>
        <c:marker>
          <c:symbol val="none"/>
        </c:marker>
      </c:pivotFmt>
      <c:pivotFmt>
        <c:idx val="622"/>
        <c:marker>
          <c:symbol val="none"/>
        </c:marker>
      </c:pivotFmt>
      <c:pivotFmt>
        <c:idx val="623"/>
        <c:marker>
          <c:symbol val="none"/>
        </c:marker>
      </c:pivotFmt>
      <c:pivotFmt>
        <c:idx val="624"/>
        <c:marker>
          <c:symbol val="none"/>
        </c:marker>
      </c:pivotFmt>
      <c:pivotFmt>
        <c:idx val="625"/>
        <c:marker>
          <c:symbol val="none"/>
        </c:marker>
      </c:pivotFmt>
      <c:pivotFmt>
        <c:idx val="626"/>
        <c:marker>
          <c:symbol val="none"/>
        </c:marker>
      </c:pivotFmt>
      <c:pivotFmt>
        <c:idx val="627"/>
        <c:marker>
          <c:symbol val="none"/>
        </c:marker>
      </c:pivotFmt>
      <c:pivotFmt>
        <c:idx val="628"/>
        <c:marker>
          <c:symbol val="none"/>
        </c:marker>
      </c:pivotFmt>
      <c:pivotFmt>
        <c:idx val="629"/>
        <c:marker>
          <c:symbol val="none"/>
        </c:marker>
      </c:pivotFmt>
      <c:pivotFmt>
        <c:idx val="630"/>
        <c:marker>
          <c:symbol val="none"/>
        </c:marker>
      </c:pivotFmt>
      <c:pivotFmt>
        <c:idx val="631"/>
        <c:marker>
          <c:symbol val="none"/>
        </c:marker>
      </c:pivotFmt>
      <c:pivotFmt>
        <c:idx val="632"/>
        <c:marker>
          <c:symbol val="none"/>
        </c:marker>
      </c:pivotFmt>
      <c:pivotFmt>
        <c:idx val="633"/>
        <c:marker>
          <c:symbol val="none"/>
        </c:marker>
      </c:pivotFmt>
      <c:pivotFmt>
        <c:idx val="634"/>
        <c:marker>
          <c:symbol val="none"/>
        </c:marker>
      </c:pivotFmt>
      <c:pivotFmt>
        <c:idx val="635"/>
        <c:marker>
          <c:symbol val="none"/>
        </c:marker>
      </c:pivotFmt>
      <c:pivotFmt>
        <c:idx val="636"/>
        <c:marker>
          <c:symbol val="none"/>
        </c:marker>
      </c:pivotFmt>
      <c:pivotFmt>
        <c:idx val="637"/>
        <c:marker>
          <c:symbol val="none"/>
        </c:marker>
      </c:pivotFmt>
      <c:pivotFmt>
        <c:idx val="638"/>
        <c:marker>
          <c:symbol val="none"/>
        </c:marker>
      </c:pivotFmt>
      <c:pivotFmt>
        <c:idx val="639"/>
        <c:marker>
          <c:symbol val="none"/>
        </c:marker>
      </c:pivotFmt>
      <c:pivotFmt>
        <c:idx val="640"/>
        <c:marker>
          <c:symbol val="none"/>
        </c:marker>
      </c:pivotFmt>
      <c:pivotFmt>
        <c:idx val="641"/>
        <c:marker>
          <c:symbol val="none"/>
        </c:marker>
      </c:pivotFmt>
      <c:pivotFmt>
        <c:idx val="642"/>
        <c:marker>
          <c:symbol val="none"/>
        </c:marker>
      </c:pivotFmt>
      <c:pivotFmt>
        <c:idx val="643"/>
        <c:marker>
          <c:symbol val="none"/>
        </c:marker>
      </c:pivotFmt>
      <c:pivotFmt>
        <c:idx val="644"/>
        <c:marker>
          <c:symbol val="none"/>
        </c:marker>
      </c:pivotFmt>
      <c:pivotFmt>
        <c:idx val="645"/>
        <c:marker>
          <c:symbol val="none"/>
        </c:marker>
      </c:pivotFmt>
      <c:pivotFmt>
        <c:idx val="646"/>
        <c:marker>
          <c:symbol val="none"/>
        </c:marker>
      </c:pivotFmt>
      <c:pivotFmt>
        <c:idx val="647"/>
        <c:marker>
          <c:symbol val="none"/>
        </c:marker>
      </c:pivotFmt>
      <c:pivotFmt>
        <c:idx val="648"/>
        <c:marker>
          <c:symbol val="none"/>
        </c:marker>
      </c:pivotFmt>
      <c:pivotFmt>
        <c:idx val="649"/>
        <c:marker>
          <c:symbol val="none"/>
        </c:marker>
      </c:pivotFmt>
      <c:pivotFmt>
        <c:idx val="650"/>
        <c:marker>
          <c:symbol val="none"/>
        </c:marker>
      </c:pivotFmt>
      <c:pivotFmt>
        <c:idx val="651"/>
        <c:marker>
          <c:symbol val="none"/>
        </c:marker>
      </c:pivotFmt>
      <c:pivotFmt>
        <c:idx val="652"/>
        <c:marker>
          <c:symbol val="none"/>
        </c:marker>
      </c:pivotFmt>
      <c:pivotFmt>
        <c:idx val="653"/>
        <c:marker>
          <c:symbol val="none"/>
        </c:marker>
      </c:pivotFmt>
      <c:pivotFmt>
        <c:idx val="654"/>
        <c:marker>
          <c:symbol val="none"/>
        </c:marker>
      </c:pivotFmt>
      <c:pivotFmt>
        <c:idx val="655"/>
        <c:marker>
          <c:symbol val="none"/>
        </c:marker>
      </c:pivotFmt>
      <c:pivotFmt>
        <c:idx val="656"/>
        <c:marker>
          <c:symbol val="none"/>
        </c:marker>
      </c:pivotFmt>
      <c:pivotFmt>
        <c:idx val="657"/>
        <c:marker>
          <c:symbol val="none"/>
        </c:marker>
      </c:pivotFmt>
      <c:pivotFmt>
        <c:idx val="658"/>
        <c:marker>
          <c:symbol val="none"/>
        </c:marker>
      </c:pivotFmt>
      <c:pivotFmt>
        <c:idx val="659"/>
        <c:marker>
          <c:symbol val="none"/>
        </c:marker>
      </c:pivotFmt>
      <c:pivotFmt>
        <c:idx val="660"/>
        <c:marker>
          <c:symbol val="none"/>
        </c:marker>
      </c:pivotFmt>
      <c:pivotFmt>
        <c:idx val="661"/>
        <c:marker>
          <c:symbol val="none"/>
        </c:marker>
      </c:pivotFmt>
      <c:pivotFmt>
        <c:idx val="662"/>
        <c:marker>
          <c:symbol val="none"/>
        </c:marker>
      </c:pivotFmt>
      <c:pivotFmt>
        <c:idx val="663"/>
        <c:marker>
          <c:symbol val="none"/>
        </c:marker>
      </c:pivotFmt>
      <c:pivotFmt>
        <c:idx val="664"/>
        <c:marker>
          <c:symbol val="none"/>
        </c:marker>
      </c:pivotFmt>
      <c:pivotFmt>
        <c:idx val="665"/>
        <c:marker>
          <c:symbol val="none"/>
        </c:marker>
      </c:pivotFmt>
      <c:pivotFmt>
        <c:idx val="666"/>
        <c:marker>
          <c:symbol val="none"/>
        </c:marker>
      </c:pivotFmt>
      <c:pivotFmt>
        <c:idx val="667"/>
        <c:marker>
          <c:symbol val="none"/>
        </c:marker>
      </c:pivotFmt>
      <c:pivotFmt>
        <c:idx val="668"/>
        <c:marker>
          <c:symbol val="none"/>
        </c:marker>
      </c:pivotFmt>
      <c:pivotFmt>
        <c:idx val="669"/>
        <c:marker>
          <c:symbol val="none"/>
        </c:marker>
      </c:pivotFmt>
      <c:pivotFmt>
        <c:idx val="670"/>
        <c:marker>
          <c:symbol val="none"/>
        </c:marker>
      </c:pivotFmt>
      <c:pivotFmt>
        <c:idx val="671"/>
        <c:marker>
          <c:symbol val="none"/>
        </c:marker>
      </c:pivotFmt>
      <c:pivotFmt>
        <c:idx val="672"/>
        <c:marker>
          <c:symbol val="none"/>
        </c:marker>
      </c:pivotFmt>
      <c:pivotFmt>
        <c:idx val="673"/>
        <c:marker>
          <c:symbol val="none"/>
        </c:marker>
      </c:pivotFmt>
      <c:pivotFmt>
        <c:idx val="674"/>
        <c:marker>
          <c:symbol val="none"/>
        </c:marker>
      </c:pivotFmt>
      <c:pivotFmt>
        <c:idx val="675"/>
        <c:marker>
          <c:symbol val="none"/>
        </c:marker>
      </c:pivotFmt>
      <c:pivotFmt>
        <c:idx val="676"/>
        <c:marker>
          <c:symbol val="none"/>
        </c:marker>
      </c:pivotFmt>
      <c:pivotFmt>
        <c:idx val="677"/>
        <c:marker>
          <c:symbol val="none"/>
        </c:marker>
      </c:pivotFmt>
      <c:pivotFmt>
        <c:idx val="678"/>
        <c:marker>
          <c:symbol val="none"/>
        </c:marker>
      </c:pivotFmt>
      <c:pivotFmt>
        <c:idx val="679"/>
        <c:marker>
          <c:symbol val="none"/>
        </c:marker>
      </c:pivotFmt>
      <c:pivotFmt>
        <c:idx val="680"/>
        <c:marker>
          <c:symbol val="none"/>
        </c:marker>
      </c:pivotFmt>
      <c:pivotFmt>
        <c:idx val="681"/>
        <c:marker>
          <c:symbol val="none"/>
        </c:marker>
      </c:pivotFmt>
      <c:pivotFmt>
        <c:idx val="682"/>
        <c:marker>
          <c:symbol val="none"/>
        </c:marker>
      </c:pivotFmt>
      <c:pivotFmt>
        <c:idx val="683"/>
        <c:marker>
          <c:symbol val="none"/>
        </c:marker>
      </c:pivotFmt>
      <c:pivotFmt>
        <c:idx val="684"/>
        <c:marker>
          <c:symbol val="none"/>
        </c:marker>
      </c:pivotFmt>
      <c:pivotFmt>
        <c:idx val="685"/>
        <c:marker>
          <c:symbol val="none"/>
        </c:marker>
      </c:pivotFmt>
      <c:pivotFmt>
        <c:idx val="686"/>
        <c:marker>
          <c:symbol val="none"/>
        </c:marker>
      </c:pivotFmt>
      <c:pivotFmt>
        <c:idx val="687"/>
        <c:marker>
          <c:symbol val="none"/>
        </c:marker>
      </c:pivotFmt>
      <c:pivotFmt>
        <c:idx val="688"/>
        <c:marker>
          <c:symbol val="none"/>
        </c:marker>
      </c:pivotFmt>
      <c:pivotFmt>
        <c:idx val="689"/>
        <c:marker>
          <c:symbol val="none"/>
        </c:marker>
      </c:pivotFmt>
      <c:pivotFmt>
        <c:idx val="690"/>
        <c:marker>
          <c:symbol val="none"/>
        </c:marker>
      </c:pivotFmt>
      <c:pivotFmt>
        <c:idx val="691"/>
        <c:marker>
          <c:symbol val="none"/>
        </c:marker>
      </c:pivotFmt>
      <c:pivotFmt>
        <c:idx val="692"/>
        <c:marker>
          <c:symbol val="none"/>
        </c:marker>
      </c:pivotFmt>
      <c:pivotFmt>
        <c:idx val="693"/>
        <c:marker>
          <c:symbol val="none"/>
        </c:marker>
      </c:pivotFmt>
      <c:pivotFmt>
        <c:idx val="694"/>
        <c:marker>
          <c:symbol val="none"/>
        </c:marker>
      </c:pivotFmt>
      <c:pivotFmt>
        <c:idx val="695"/>
        <c:marker>
          <c:symbol val="none"/>
        </c:marker>
      </c:pivotFmt>
      <c:pivotFmt>
        <c:idx val="696"/>
        <c:marker>
          <c:symbol val="none"/>
        </c:marker>
      </c:pivotFmt>
      <c:pivotFmt>
        <c:idx val="697"/>
        <c:marker>
          <c:symbol val="none"/>
        </c:marker>
      </c:pivotFmt>
      <c:pivotFmt>
        <c:idx val="698"/>
        <c:marker>
          <c:symbol val="none"/>
        </c:marker>
      </c:pivotFmt>
      <c:pivotFmt>
        <c:idx val="699"/>
        <c:marker>
          <c:symbol val="none"/>
        </c:marker>
      </c:pivotFmt>
      <c:pivotFmt>
        <c:idx val="700"/>
        <c:marker>
          <c:symbol val="none"/>
        </c:marker>
      </c:pivotFmt>
      <c:pivotFmt>
        <c:idx val="701"/>
        <c:marker>
          <c:symbol val="none"/>
        </c:marker>
      </c:pivotFmt>
      <c:pivotFmt>
        <c:idx val="702"/>
        <c:marker>
          <c:symbol val="none"/>
        </c:marker>
      </c:pivotFmt>
      <c:pivotFmt>
        <c:idx val="703"/>
        <c:marker>
          <c:symbol val="none"/>
        </c:marker>
      </c:pivotFmt>
      <c:pivotFmt>
        <c:idx val="704"/>
        <c:marker>
          <c:symbol val="none"/>
        </c:marker>
      </c:pivotFmt>
      <c:pivotFmt>
        <c:idx val="705"/>
        <c:marker>
          <c:symbol val="none"/>
        </c:marker>
      </c:pivotFmt>
      <c:pivotFmt>
        <c:idx val="706"/>
        <c:marker>
          <c:symbol val="none"/>
        </c:marker>
      </c:pivotFmt>
      <c:pivotFmt>
        <c:idx val="707"/>
        <c:marker>
          <c:symbol val="none"/>
        </c:marker>
      </c:pivotFmt>
      <c:pivotFmt>
        <c:idx val="708"/>
        <c:marker>
          <c:symbol val="none"/>
        </c:marker>
      </c:pivotFmt>
      <c:pivotFmt>
        <c:idx val="709"/>
        <c:marker>
          <c:symbol val="none"/>
        </c:marker>
      </c:pivotFmt>
      <c:pivotFmt>
        <c:idx val="710"/>
        <c:marker>
          <c:symbol val="none"/>
        </c:marker>
      </c:pivotFmt>
      <c:pivotFmt>
        <c:idx val="711"/>
        <c:marker>
          <c:symbol val="none"/>
        </c:marker>
      </c:pivotFmt>
      <c:pivotFmt>
        <c:idx val="712"/>
        <c:marker>
          <c:symbol val="none"/>
        </c:marker>
      </c:pivotFmt>
      <c:pivotFmt>
        <c:idx val="713"/>
        <c:marker>
          <c:symbol val="none"/>
        </c:marker>
      </c:pivotFmt>
      <c:pivotFmt>
        <c:idx val="714"/>
        <c:marker>
          <c:symbol val="none"/>
        </c:marker>
      </c:pivotFmt>
      <c:pivotFmt>
        <c:idx val="715"/>
        <c:marker>
          <c:symbol val="none"/>
        </c:marker>
      </c:pivotFmt>
      <c:pivotFmt>
        <c:idx val="716"/>
        <c:marker>
          <c:symbol val="none"/>
        </c:marker>
      </c:pivotFmt>
      <c:pivotFmt>
        <c:idx val="717"/>
        <c:marker>
          <c:symbol val="none"/>
        </c:marker>
      </c:pivotFmt>
      <c:pivotFmt>
        <c:idx val="718"/>
        <c:marker>
          <c:symbol val="none"/>
        </c:marker>
      </c:pivotFmt>
      <c:pivotFmt>
        <c:idx val="719"/>
        <c:marker>
          <c:symbol val="none"/>
        </c:marker>
      </c:pivotFmt>
      <c:pivotFmt>
        <c:idx val="720"/>
        <c:marker>
          <c:symbol val="none"/>
        </c:marker>
      </c:pivotFmt>
      <c:pivotFmt>
        <c:idx val="721"/>
        <c:marker>
          <c:symbol val="none"/>
        </c:marker>
      </c:pivotFmt>
      <c:pivotFmt>
        <c:idx val="722"/>
        <c:marker>
          <c:symbol val="none"/>
        </c:marker>
      </c:pivotFmt>
      <c:pivotFmt>
        <c:idx val="723"/>
        <c:marker>
          <c:symbol val="none"/>
        </c:marker>
      </c:pivotFmt>
      <c:pivotFmt>
        <c:idx val="724"/>
        <c:marker>
          <c:symbol val="none"/>
        </c:marker>
      </c:pivotFmt>
      <c:pivotFmt>
        <c:idx val="725"/>
        <c:marker>
          <c:symbol val="none"/>
        </c:marker>
      </c:pivotFmt>
      <c:pivotFmt>
        <c:idx val="726"/>
        <c:marker>
          <c:symbol val="none"/>
        </c:marker>
      </c:pivotFmt>
      <c:pivotFmt>
        <c:idx val="727"/>
        <c:marker>
          <c:symbol val="none"/>
        </c:marker>
      </c:pivotFmt>
      <c:pivotFmt>
        <c:idx val="728"/>
        <c:marker>
          <c:symbol val="none"/>
        </c:marker>
      </c:pivotFmt>
      <c:pivotFmt>
        <c:idx val="729"/>
        <c:marker>
          <c:symbol val="none"/>
        </c:marker>
      </c:pivotFmt>
      <c:pivotFmt>
        <c:idx val="730"/>
        <c:marker>
          <c:symbol val="none"/>
        </c:marker>
      </c:pivotFmt>
      <c:pivotFmt>
        <c:idx val="731"/>
        <c:marker>
          <c:symbol val="none"/>
        </c:marker>
      </c:pivotFmt>
      <c:pivotFmt>
        <c:idx val="732"/>
        <c:marker>
          <c:symbol val="none"/>
        </c:marker>
      </c:pivotFmt>
      <c:pivotFmt>
        <c:idx val="733"/>
        <c:marker>
          <c:symbol val="none"/>
        </c:marker>
      </c:pivotFmt>
      <c:pivotFmt>
        <c:idx val="734"/>
        <c:marker>
          <c:symbol val="none"/>
        </c:marker>
      </c:pivotFmt>
      <c:pivotFmt>
        <c:idx val="735"/>
        <c:marker>
          <c:symbol val="none"/>
        </c:marker>
      </c:pivotFmt>
      <c:pivotFmt>
        <c:idx val="736"/>
        <c:marker>
          <c:symbol val="none"/>
        </c:marker>
      </c:pivotFmt>
      <c:pivotFmt>
        <c:idx val="737"/>
        <c:marker>
          <c:symbol val="none"/>
        </c:marker>
      </c:pivotFmt>
      <c:pivotFmt>
        <c:idx val="738"/>
        <c:marker>
          <c:symbol val="none"/>
        </c:marker>
      </c:pivotFmt>
      <c:pivotFmt>
        <c:idx val="739"/>
        <c:marker>
          <c:symbol val="none"/>
        </c:marker>
      </c:pivotFmt>
      <c:pivotFmt>
        <c:idx val="740"/>
        <c:marker>
          <c:symbol val="none"/>
        </c:marker>
      </c:pivotFmt>
      <c:pivotFmt>
        <c:idx val="741"/>
        <c:marker>
          <c:symbol val="none"/>
        </c:marker>
      </c:pivotFmt>
      <c:pivotFmt>
        <c:idx val="742"/>
        <c:marker>
          <c:symbol val="none"/>
        </c:marker>
      </c:pivotFmt>
      <c:pivotFmt>
        <c:idx val="743"/>
        <c:marker>
          <c:symbol val="none"/>
        </c:marker>
      </c:pivotFmt>
      <c:pivotFmt>
        <c:idx val="744"/>
        <c:marker>
          <c:symbol val="none"/>
        </c:marker>
      </c:pivotFmt>
      <c:pivotFmt>
        <c:idx val="745"/>
        <c:marker>
          <c:symbol val="none"/>
        </c:marker>
      </c:pivotFmt>
      <c:pivotFmt>
        <c:idx val="746"/>
        <c:marker>
          <c:symbol val="none"/>
        </c:marker>
      </c:pivotFmt>
      <c:pivotFmt>
        <c:idx val="747"/>
        <c:marker>
          <c:symbol val="none"/>
        </c:marker>
      </c:pivotFmt>
      <c:pivotFmt>
        <c:idx val="748"/>
        <c:marker>
          <c:symbol val="none"/>
        </c:marker>
      </c:pivotFmt>
      <c:pivotFmt>
        <c:idx val="749"/>
        <c:marker>
          <c:symbol val="none"/>
        </c:marker>
      </c:pivotFmt>
      <c:pivotFmt>
        <c:idx val="750"/>
        <c:marker>
          <c:symbol val="none"/>
        </c:marker>
      </c:pivotFmt>
      <c:pivotFmt>
        <c:idx val="751"/>
        <c:marker>
          <c:symbol val="none"/>
        </c:marker>
      </c:pivotFmt>
      <c:pivotFmt>
        <c:idx val="752"/>
        <c:marker>
          <c:symbol val="none"/>
        </c:marker>
      </c:pivotFmt>
      <c:pivotFmt>
        <c:idx val="753"/>
        <c:marker>
          <c:symbol val="none"/>
        </c:marker>
      </c:pivotFmt>
      <c:pivotFmt>
        <c:idx val="754"/>
        <c:marker>
          <c:symbol val="none"/>
        </c:marker>
      </c:pivotFmt>
      <c:pivotFmt>
        <c:idx val="755"/>
        <c:marker>
          <c:symbol val="none"/>
        </c:marker>
      </c:pivotFmt>
      <c:pivotFmt>
        <c:idx val="756"/>
        <c:marker>
          <c:symbol val="none"/>
        </c:marker>
      </c:pivotFmt>
      <c:pivotFmt>
        <c:idx val="757"/>
        <c:marker>
          <c:symbol val="none"/>
        </c:marker>
      </c:pivotFmt>
      <c:pivotFmt>
        <c:idx val="758"/>
        <c:marker>
          <c:symbol val="none"/>
        </c:marker>
      </c:pivotFmt>
      <c:pivotFmt>
        <c:idx val="759"/>
        <c:marker>
          <c:symbol val="none"/>
        </c:marker>
      </c:pivotFmt>
      <c:pivotFmt>
        <c:idx val="760"/>
        <c:marker>
          <c:symbol val="none"/>
        </c:marker>
      </c:pivotFmt>
      <c:pivotFmt>
        <c:idx val="761"/>
        <c:marker>
          <c:symbol val="none"/>
        </c:marker>
      </c:pivotFmt>
    </c:pivotFmts>
    <c:plotArea>
      <c:layout>
        <c:manualLayout>
          <c:layoutTarget val="inner"/>
          <c:xMode val="edge"/>
          <c:yMode val="edge"/>
          <c:x val="0.12378648033234256"/>
          <c:y val="0.10635222058134408"/>
          <c:w val="0.75904853533179795"/>
          <c:h val="0.63863654467754716"/>
        </c:manualLayout>
      </c:layout>
      <c:barChart>
        <c:barDir val="col"/>
        <c:grouping val="clustered"/>
        <c:varyColors val="0"/>
        <c:ser>
          <c:idx val="0"/>
          <c:order val="0"/>
          <c:tx>
            <c:strRef>
              <c:f>'2016'!$H$4</c:f>
              <c:strCache>
                <c:ptCount val="1"/>
                <c:pt idx="0">
                  <c:v>Total</c:v>
                </c:pt>
              </c:strCache>
            </c:strRef>
          </c:tx>
          <c:invertIfNegative val="0"/>
          <c:cat>
            <c:strRef>
              <c:f>'2016'!$G$5:$G$9</c:f>
              <c:strCache>
                <c:ptCount val="4"/>
                <c:pt idx="0">
                  <c:v>Japan</c:v>
                </c:pt>
                <c:pt idx="1">
                  <c:v>China</c:v>
                </c:pt>
                <c:pt idx="2">
                  <c:v>Russia</c:v>
                </c:pt>
                <c:pt idx="3">
                  <c:v>South Korea</c:v>
                </c:pt>
              </c:strCache>
            </c:strRef>
          </c:cat>
          <c:val>
            <c:numRef>
              <c:f>'2016'!$H$5:$H$9</c:f>
              <c:numCache>
                <c:formatCode>_("$"* #,##0_);_("$"* \(#,##0\);_("$"* "-"??_);_(@_)</c:formatCode>
                <c:ptCount val="4"/>
                <c:pt idx="0">
                  <c:v>2289000000</c:v>
                </c:pt>
                <c:pt idx="1">
                  <c:v>2073660000</c:v>
                </c:pt>
                <c:pt idx="2">
                  <c:v>112500000</c:v>
                </c:pt>
                <c:pt idx="3">
                  <c:v>72060000</c:v>
                </c:pt>
              </c:numCache>
            </c:numRef>
          </c:val>
          <c:extLst>
            <c:ext xmlns:c16="http://schemas.microsoft.com/office/drawing/2014/chart" uri="{C3380CC4-5D6E-409C-BE32-E72D297353CC}">
              <c16:uniqueId val="{00000000-8FBF-402B-8231-DE2FFC5EBE86}"/>
            </c:ext>
          </c:extLst>
        </c:ser>
        <c:dLbls>
          <c:showLegendKey val="0"/>
          <c:showVal val="0"/>
          <c:showCatName val="0"/>
          <c:showSerName val="0"/>
          <c:showPercent val="0"/>
          <c:showBubbleSize val="0"/>
        </c:dLbls>
        <c:gapWidth val="150"/>
        <c:axId val="110742144"/>
        <c:axId val="111116672"/>
      </c:barChart>
      <c:catAx>
        <c:axId val="110742144"/>
        <c:scaling>
          <c:orientation val="minMax"/>
        </c:scaling>
        <c:delete val="0"/>
        <c:axPos val="b"/>
        <c:numFmt formatCode="General" sourceLinked="0"/>
        <c:majorTickMark val="out"/>
        <c:minorTickMark val="none"/>
        <c:tickLblPos val="nextTo"/>
        <c:txPr>
          <a:bodyPr/>
          <a:lstStyle/>
          <a:p>
            <a:pPr>
              <a:defRPr sz="1200"/>
            </a:pPr>
            <a:endParaRPr lang="en-US"/>
          </a:p>
        </c:txPr>
        <c:crossAx val="111116672"/>
        <c:crosses val="autoZero"/>
        <c:auto val="1"/>
        <c:lblAlgn val="ctr"/>
        <c:lblOffset val="100"/>
        <c:noMultiLvlLbl val="0"/>
      </c:catAx>
      <c:valAx>
        <c:axId val="111116672"/>
        <c:scaling>
          <c:orientation val="minMax"/>
          <c:min val="0"/>
        </c:scaling>
        <c:delete val="0"/>
        <c:axPos val="l"/>
        <c:majorGridlines/>
        <c:title>
          <c:tx>
            <c:rich>
              <a:bodyPr rot="-5400000" vert="horz"/>
              <a:lstStyle/>
              <a:p>
                <a:pPr>
                  <a:defRPr sz="1200"/>
                </a:pPr>
                <a:r>
                  <a:rPr lang="en-US" sz="1200"/>
                  <a:t>Billions USD</a:t>
                </a:r>
              </a:p>
              <a:p>
                <a:pPr>
                  <a:defRPr sz="1200"/>
                </a:pPr>
                <a:endParaRPr lang="en-US" sz="1200"/>
              </a:p>
            </c:rich>
          </c:tx>
          <c:layout>
            <c:manualLayout>
              <c:xMode val="edge"/>
              <c:yMode val="edge"/>
              <c:x val="1.9611015679284347E-2"/>
              <c:y val="0.3534941305428308"/>
            </c:manualLayout>
          </c:layout>
          <c:overlay val="0"/>
        </c:title>
        <c:numFmt formatCode="_(&quot;$&quot;* #,##0_);_(&quot;$&quot;* \(#,##0\);_(&quot;$&quot;* &quot;-&quot;??_);_(@_)" sourceLinked="1"/>
        <c:majorTickMark val="none"/>
        <c:minorTickMark val="none"/>
        <c:tickLblPos val="nextTo"/>
        <c:crossAx val="110742144"/>
        <c:crosses val="autoZero"/>
        <c:crossBetween val="between"/>
        <c:dispUnits>
          <c:builtInUnit val="billions"/>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[international-coal-finance-database-201611.xlsx]GPendingStack!Pending Country</c:name>
    <c:fmtId val="2"/>
  </c:pivotSource>
  <c:chart>
    <c:title>
      <c:tx>
        <c:rich>
          <a:bodyPr/>
          <a:lstStyle/>
          <a:p>
            <a:pPr>
              <a:defRPr/>
            </a:pPr>
            <a:r>
              <a:rPr lang="en-US"/>
              <a:t>Coal</a:t>
            </a:r>
            <a:r>
              <a:rPr lang="en-US" baseline="0"/>
              <a:t> Finance Under Consideration</a:t>
            </a:r>
            <a:endParaRPr lang="en-US"/>
          </a:p>
        </c:rich>
      </c:tx>
      <c:overlay val="0"/>
    </c:title>
    <c:autoTitleDeleted val="0"/>
    <c:pivotFmts>
      <c:pivotFmt>
        <c:idx val="0"/>
        <c:marker>
          <c:symbol val="none"/>
        </c:marker>
        <c:dLbl>
          <c:idx val="0"/>
          <c:numFmt formatCode="#,##0.00" sourceLinked="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numFmt formatCode="#,##0.00" sourceLinked="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numFmt formatCode="#,##0.00" sourceLinked="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pivotFmt>
      <c:pivotFmt>
        <c:idx val="5"/>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howLegendKey val="0"/>
          <c:showVal val="0"/>
          <c:showCatName val="0"/>
          <c:showSerName val="1"/>
          <c:showPercent val="0"/>
          <c:showBubbleSize val="0"/>
          <c:extLst>
            <c:ext xmlns:c15="http://schemas.microsoft.com/office/drawing/2012/chart" uri="{CE6537A1-D6FC-4f65-9D91-7224C49458BB}"/>
          </c:extLst>
        </c:dLbl>
      </c:pivotFmt>
      <c:pivotFmt>
        <c:idx val="7"/>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6"/>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8"/>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1"/>
        <c:marker>
          <c:symbol val="none"/>
        </c:marker>
        <c:dLbl>
          <c:idx val="0"/>
          <c:showLegendKey val="0"/>
          <c:showVal val="0"/>
          <c:showCatName val="0"/>
          <c:showSerName val="1"/>
          <c:showPercent val="0"/>
          <c:showBubbleSize val="0"/>
          <c:extLst>
            <c:ext xmlns:c15="http://schemas.microsoft.com/office/drawing/2012/chart" uri="{CE6537A1-D6FC-4f65-9D91-7224C49458BB}"/>
          </c:extLst>
        </c:dLbl>
      </c:pivotFmt>
      <c:pivotFmt>
        <c:idx val="32"/>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3"/>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tx>
            <c:rich>
              <a:bodyPr/>
              <a:lstStyle/>
              <a:p>
                <a:r>
                  <a:rPr lang="en-US"/>
                  <a:t>Punta Catalina, Dominican Republic
</a:t>
                </a:r>
              </a:p>
            </c:rich>
          </c:tx>
          <c:showLegendKey val="0"/>
          <c:showVal val="0"/>
          <c:showCatName val="0"/>
          <c:showSerName val="1"/>
          <c:showPercent val="0"/>
          <c:showBubbleSize val="0"/>
          <c:extLst>
            <c:ext xmlns:c15="http://schemas.microsoft.com/office/drawing/2012/chart" uri="{CE6537A1-D6FC-4f65-9D91-7224C49458BB}"/>
          </c:extLst>
        </c:dLbl>
      </c:pivotFmt>
      <c:pivotFmt>
        <c:idx val="37"/>
        <c:dLbl>
          <c:idx val="0"/>
          <c:tx>
            <c:rich>
              <a:bodyPr/>
              <a:lstStyle/>
              <a:p>
                <a:r>
                  <a:rPr lang="en-US"/>
                  <a:t>Batan, Indonesia</a:t>
                </a:r>
              </a:p>
            </c:rich>
          </c:tx>
          <c:showLegendKey val="0"/>
          <c:showVal val="0"/>
          <c:showCatName val="0"/>
          <c:showSerName val="1"/>
          <c:showPercent val="0"/>
          <c:showBubbleSize val="0"/>
          <c:extLst>
            <c:ext xmlns:c15="http://schemas.microsoft.com/office/drawing/2012/chart" uri="{CE6537A1-D6FC-4f65-9D91-7224C49458BB}"/>
          </c:extLst>
        </c:dLbl>
      </c:pivotFmt>
      <c:pivotFmt>
        <c:idx val="38"/>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dLbl>
          <c:idx val="0"/>
          <c:spPr/>
          <c:txPr>
            <a:bodyPr/>
            <a:lstStyle/>
            <a:p>
              <a:pPr>
                <a:defRPr/>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45"/>
        <c:marker>
          <c:symbol val="none"/>
        </c:marker>
        <c:dLbl>
          <c:idx val="0"/>
          <c:spPr/>
          <c:txPr>
            <a:bodyPr/>
            <a:lstStyle/>
            <a:p>
              <a:pPr>
                <a:defRPr/>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dLbl>
          <c:idx val="0"/>
          <c:spPr/>
          <c:txPr>
            <a:bodyPr/>
            <a:lstStyle/>
            <a:p>
              <a:pPr>
                <a:defRPr b="1"/>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7"/>
        <c:marker>
          <c:symbol val="none"/>
        </c:marker>
      </c:pivotFmt>
      <c:pivotFmt>
        <c:idx val="58"/>
        <c:marker>
          <c:symbol val="none"/>
        </c:marker>
        <c:dLbl>
          <c:idx val="0"/>
          <c:spPr>
            <a:solidFill>
              <a:schemeClr val="bg1"/>
            </a:solidFill>
          </c:spPr>
          <c:txPr>
            <a:bodyPr/>
            <a:lstStyle/>
            <a:p>
              <a:pPr>
                <a:defRPr b="1"/>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59"/>
        <c:marker>
          <c:symbol val="none"/>
        </c:marker>
      </c:pivotFmt>
      <c:pivotFmt>
        <c:idx val="60"/>
        <c:marker>
          <c:symbol val="none"/>
        </c:marker>
      </c:pivotFmt>
      <c:pivotFmt>
        <c:idx val="61"/>
        <c:marker>
          <c:symbol val="none"/>
        </c:marker>
      </c:pivotFmt>
      <c:pivotFmt>
        <c:idx val="62"/>
        <c:marker>
          <c:symbol val="none"/>
        </c:marker>
        <c:dLbl>
          <c:idx val="0"/>
          <c:spPr/>
          <c:txPr>
            <a:bodyPr/>
            <a:lstStyle/>
            <a:p>
              <a:pPr>
                <a:defRPr b="1"/>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63"/>
        <c:marker>
          <c:symbol val="none"/>
        </c:marker>
        <c:dLbl>
          <c:idx val="0"/>
          <c:spPr>
            <a:solidFill>
              <a:schemeClr val="bg1"/>
            </a:solidFill>
          </c:spPr>
          <c:txPr>
            <a:bodyPr/>
            <a:lstStyle/>
            <a:p>
              <a:pPr>
                <a:defRPr/>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dLbl>
          <c:idx val="0"/>
          <c:spPr/>
          <c:txPr>
            <a:bodyPr/>
            <a:lstStyle/>
            <a:p>
              <a:pPr>
                <a:defRPr/>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69"/>
        <c:marker>
          <c:symbol val="none"/>
        </c:marker>
        <c:dLbl>
          <c:idx val="0"/>
          <c:spPr/>
          <c:txPr>
            <a:bodyPr/>
            <a:lstStyle/>
            <a:p>
              <a:pPr>
                <a:defRPr b="1"/>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0"/>
        <c:dLbl>
          <c:idx val="0"/>
          <c:tx>
            <c:rich>
              <a:bodyPr/>
              <a:lstStyle/>
              <a:p>
                <a:r>
                  <a:rPr lang="en-US"/>
                  <a:t>Suralaya Power </a:t>
                </a:r>
              </a:p>
            </c:rich>
          </c:tx>
          <c:dLblPos val="inEnd"/>
          <c:showLegendKey val="0"/>
          <c:showVal val="0"/>
          <c:showCatName val="0"/>
          <c:showSerName val="1"/>
          <c:showPercent val="0"/>
          <c:showBubbleSize val="0"/>
          <c:extLst>
            <c:ext xmlns:c15="http://schemas.microsoft.com/office/drawing/2012/chart" uri="{CE6537A1-D6FC-4f65-9D91-7224C49458BB}"/>
          </c:extLst>
        </c:dLbl>
      </c:pivotFmt>
      <c:pivotFmt>
        <c:idx val="71"/>
        <c:spPr>
          <a:pattFill prst="wdDnDiag">
            <a:fgClr>
              <a:schemeClr val="tx1"/>
            </a:fgClr>
            <a:bgClr>
              <a:schemeClr val="bg1"/>
            </a:bgClr>
          </a:pattFill>
        </c:spPr>
        <c:marker>
          <c:symbol val="none"/>
        </c:marker>
        <c:dLbl>
          <c:idx val="0"/>
          <c:spPr/>
          <c:txPr>
            <a:bodyPr/>
            <a:lstStyle/>
            <a:p>
              <a:pPr>
                <a:defRPr b="1"/>
              </a:pPr>
              <a:endParaRPr lang="en-US"/>
            </a:p>
          </c:txPr>
          <c:dLblPos val="inEnd"/>
          <c:showLegendKey val="0"/>
          <c:showVal val="0"/>
          <c:showCatName val="1"/>
          <c:showSerName val="0"/>
          <c:showPercent val="0"/>
          <c:showBubbleSize val="0"/>
          <c:extLst>
            <c:ext xmlns:c15="http://schemas.microsoft.com/office/drawing/2012/chart" uri="{CE6537A1-D6FC-4f65-9D91-7224C49458BB}"/>
          </c:extLst>
        </c:dLbl>
      </c:pivotFmt>
      <c:pivotFmt>
        <c:idx val="72"/>
        <c:marker>
          <c:symbol val="none"/>
        </c:marker>
      </c:pivotFmt>
      <c:pivotFmt>
        <c:idx val="73"/>
        <c:marker>
          <c:symbol val="none"/>
        </c:marker>
        <c:dLbl>
          <c:idx val="0"/>
          <c:spPr>
            <a:solidFill>
              <a:schemeClr val="bg1"/>
            </a:solidFill>
          </c:spPr>
          <c:txPr>
            <a:bodyPr/>
            <a:lstStyle/>
            <a:p>
              <a:pPr>
                <a:defRPr b="1"/>
              </a:pPr>
              <a:endParaRPr lang="en-US"/>
            </a:p>
          </c:txPr>
          <c:dLblPos val="inEnd"/>
          <c:showLegendKey val="0"/>
          <c:showVal val="0"/>
          <c:showCatName val="0"/>
          <c:showSerName val="1"/>
          <c:showPercent val="0"/>
          <c:showBubbleSize val="0"/>
          <c:extLst>
            <c:ext xmlns:c15="http://schemas.microsoft.com/office/drawing/2012/chart" uri="{CE6537A1-D6FC-4f65-9D91-7224C49458BB}"/>
          </c:extLst>
        </c:dLbl>
      </c:pivotFmt>
      <c:pivotFmt>
        <c:idx val="74"/>
        <c:dLbl>
          <c:idx val="0"/>
          <c:layout>
            <c:manualLayout>
              <c:x val="0.12433011789925"/>
              <c:y val="-2.5897768830333401E-2"/>
            </c:manualLayout>
          </c:layout>
          <c:tx>
            <c:rich>
              <a:bodyPr/>
              <a:lstStyle/>
              <a:p>
                <a:pPr>
                  <a:defRPr b="1"/>
                </a:pPr>
                <a:r>
                  <a:rPr lang="en-US" b="1"/>
                  <a:t>Projects with</a:t>
                </a:r>
                <a:r>
                  <a:rPr lang="en-US" b="1" baseline="0"/>
                  <a:t> </a:t>
                </a:r>
                <a:r>
                  <a:rPr lang="en-US" b="1"/>
                  <a:t>Unspecified Amount</a:t>
                </a:r>
                <a:endParaRPr lang="en-US"/>
              </a:p>
            </c:rich>
          </c:tx>
          <c:spPr/>
          <c:dLblPos val="ctr"/>
          <c:showLegendKey val="0"/>
          <c:showVal val="0"/>
          <c:showCatName val="1"/>
          <c:showSerName val="0"/>
          <c:showPercent val="0"/>
          <c:showBubbleSize val="0"/>
          <c:extLst>
            <c:ext xmlns:c15="http://schemas.microsoft.com/office/drawing/2012/chart" uri="{CE6537A1-D6FC-4f65-9D91-7224C49458BB}"/>
          </c:extLst>
        </c:dLbl>
      </c:pivotFmt>
      <c:pivotFmt>
        <c:idx val="75"/>
        <c:dLbl>
          <c:idx val="0"/>
          <c:layout>
            <c:manualLayout>
              <c:x val="0.12861736334405099"/>
              <c:y val="-0.150994476673774"/>
            </c:manualLayout>
          </c:layout>
          <c:spPr>
            <a:solidFill>
              <a:schemeClr val="bg1"/>
            </a:solidFill>
          </c:spPr>
          <c:txPr>
            <a:bodyPr/>
            <a:lstStyle/>
            <a:p>
              <a:pPr>
                <a:defRPr b="1"/>
              </a:pPr>
              <a:endParaRPr lang="en-US"/>
            </a:p>
          </c:txPr>
          <c:dLblPos val="ctr"/>
          <c:showLegendKey val="0"/>
          <c:showVal val="0"/>
          <c:showCatName val="0"/>
          <c:showSerName val="1"/>
          <c:showPercent val="0"/>
          <c:showBubbleSize val="0"/>
          <c:extLst>
            <c:ext xmlns:c15="http://schemas.microsoft.com/office/drawing/2012/chart" uri="{CE6537A1-D6FC-4f65-9D91-7224C49458BB}"/>
          </c:extLst>
        </c:dLbl>
      </c:pivotFmt>
      <c:pivotFmt>
        <c:idx val="76"/>
        <c:dLbl>
          <c:idx val="0"/>
          <c:layout>
            <c:manualLayout>
              <c:x val="-2.14362272240086E-3"/>
              <c:y val="-3.4553388844548699E-2"/>
            </c:manualLayout>
          </c:layout>
          <c:tx>
            <c:rich>
              <a:bodyPr/>
              <a:lstStyle/>
              <a:p>
                <a:pPr>
                  <a:defRPr b="1"/>
                </a:pPr>
                <a:r>
                  <a:rPr lang="en-US" b="1"/>
                  <a:t>Punta Catalina
power plant</a:t>
                </a:r>
                <a:endParaRPr lang="en-US"/>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77"/>
        <c:dLbl>
          <c:idx val="0"/>
          <c:layout>
            <c:manualLayout>
              <c:x val="6.4308681672025697E-3"/>
              <c:y val="-0.11305990684598601"/>
            </c:manualLayout>
          </c:layout>
          <c:tx>
            <c:rich>
              <a:bodyPr/>
              <a:lstStyle/>
              <a:p>
                <a:pPr>
                  <a:defRPr b="1"/>
                </a:pPr>
                <a:r>
                  <a:rPr lang="en-US" b="1"/>
                  <a:t>JICA - Thai Binh Power Plant and Transmission </a:t>
                </a:r>
                <a:endParaRPr lang="en-US"/>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78"/>
        <c:dLbl>
          <c:idx val="0"/>
          <c:layout>
            <c:manualLayout>
              <c:x val="4.2872454448017201E-3"/>
              <c:y val="5.2923868631398396E-3"/>
            </c:manualLayout>
          </c:layout>
          <c:tx>
            <c:rich>
              <a:bodyPr/>
              <a:lstStyle/>
              <a:p>
                <a:pPr>
                  <a:defRPr b="1"/>
                </a:pPr>
                <a:r>
                  <a:rPr lang="en-US" b="1"/>
                  <a:t>JBIC</a:t>
                </a:r>
                <a:r>
                  <a:rPr lang="en-US" b="1" baseline="0"/>
                  <a:t> -</a:t>
                </a:r>
                <a:r>
                  <a:rPr lang="en-US" b="1"/>
                  <a:t> Duyen Hai Plant</a:t>
                </a:r>
                <a:endParaRPr lang="en-US"/>
              </a:p>
            </c:rich>
          </c:tx>
          <c:spPr>
            <a:solidFill>
              <a:schemeClr val="bg1"/>
            </a:solidFill>
          </c:spPr>
          <c:dLblPos val="ctr"/>
          <c:showLegendKey val="0"/>
          <c:showVal val="1"/>
          <c:showCatName val="0"/>
          <c:showSerName val="1"/>
          <c:showPercent val="0"/>
          <c:showBubbleSize val="0"/>
          <c:extLst>
            <c:ext xmlns:c15="http://schemas.microsoft.com/office/drawing/2012/chart" uri="{CE6537A1-D6FC-4f65-9D91-7224C49458BB}"/>
          </c:extLst>
        </c:dLbl>
      </c:pivotFmt>
      <c:pivotFmt>
        <c:idx val="79"/>
        <c:dLbl>
          <c:idx val="0"/>
          <c:layout>
            <c:manualLayout>
              <c:x val="-0.111468381564845"/>
              <c:y val="3.3926167701049502E-4"/>
            </c:manualLayout>
          </c:layout>
          <c:tx>
            <c:rich>
              <a:bodyPr/>
              <a:lstStyle/>
              <a:p>
                <a:pPr>
                  <a:defRPr b="1"/>
                </a:pPr>
                <a:r>
                  <a:rPr lang="en-US" b="1"/>
                  <a:t>KfW - Suralaya Power Plant </a:t>
                </a:r>
                <a:endParaRPr lang="en-US"/>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80"/>
        <c:dLbl>
          <c:idx val="0"/>
          <c:layout>
            <c:manualLayout>
              <c:x val="-0.12647374062165101"/>
              <c:y val="1.06543414297116E-3"/>
            </c:manualLayout>
          </c:layout>
          <c:tx>
            <c:rich>
              <a:bodyPr/>
              <a:lstStyle/>
              <a:p>
                <a:pPr>
                  <a:defRPr b="1"/>
                </a:pPr>
                <a:r>
                  <a:rPr lang="en-US" b="1"/>
                  <a:t>KfW - Ptolemaida V Power Plant</a:t>
                </a:r>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81"/>
        <c:dLbl>
          <c:idx val="0"/>
          <c:layout>
            <c:manualLayout>
              <c:x val="-0.12647374062165101"/>
              <c:y val="-1.0578261680981299E-2"/>
            </c:manualLayout>
          </c:layout>
          <c:tx>
            <c:rich>
              <a:bodyPr/>
              <a:lstStyle/>
              <a:p>
                <a:pPr>
                  <a:defRPr b="1"/>
                </a:pPr>
                <a:r>
                  <a:rPr lang="en-US" b="1"/>
                  <a:t>Euler Hermes - Kazakhstan power plant </a:t>
                </a:r>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82"/>
        <c:dLbl>
          <c:idx val="0"/>
          <c:layout>
            <c:manualLayout>
              <c:x val="-0.12861736334405099"/>
              <c:y val="1.01614907818822E-2"/>
            </c:manualLayout>
          </c:layout>
          <c:tx>
            <c:rich>
              <a:bodyPr/>
              <a:lstStyle/>
              <a:p>
                <a:pPr>
                  <a:defRPr b="1"/>
                </a:pPr>
                <a:r>
                  <a:rPr lang="en-US" b="1"/>
                  <a:t>Euler Hermes - Croatia power plant</a:t>
                </a:r>
              </a:p>
            </c:rich>
          </c:tx>
          <c:spPr>
            <a:solidFill>
              <a:schemeClr val="bg1"/>
            </a:solidFill>
          </c:spPr>
          <c:dLblPos val="ctr"/>
          <c:showLegendKey val="0"/>
          <c:showVal val="0"/>
          <c:showCatName val="0"/>
          <c:showSerName val="1"/>
          <c:showPercent val="0"/>
          <c:showBubbleSize val="0"/>
          <c:extLst>
            <c:ext xmlns:c15="http://schemas.microsoft.com/office/drawing/2012/chart" uri="{CE6537A1-D6FC-4f65-9D91-7224C49458BB}"/>
          </c:extLst>
        </c:dLbl>
      </c:pivotFmt>
      <c:pivotFmt>
        <c:idx val="83"/>
        <c:marker>
          <c:symbol val="none"/>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marker>
          <c:symbol val="none"/>
        </c:marker>
      </c:pivotFmt>
      <c:pivotFmt>
        <c:idx val="131"/>
        <c:marker>
          <c:symbol val="none"/>
        </c:marker>
      </c:pivotFmt>
      <c:pivotFmt>
        <c:idx val="132"/>
        <c:marker>
          <c:symbol val="none"/>
        </c:marker>
      </c:pivotFmt>
      <c:pivotFmt>
        <c:idx val="133"/>
        <c:marker>
          <c:symbol val="none"/>
        </c:marker>
      </c:pivotFmt>
      <c:pivotFmt>
        <c:idx val="134"/>
        <c:marker>
          <c:symbol val="none"/>
        </c:marker>
      </c:pivotFmt>
      <c:pivotFmt>
        <c:idx val="135"/>
        <c:marker>
          <c:symbol val="none"/>
        </c:marker>
      </c:pivotFmt>
      <c:pivotFmt>
        <c:idx val="136"/>
        <c:marker>
          <c:symbol val="none"/>
        </c:marker>
      </c:pivotFmt>
      <c:pivotFmt>
        <c:idx val="137"/>
        <c:marker>
          <c:symbol val="none"/>
        </c:marker>
      </c:pivotFmt>
      <c:pivotFmt>
        <c:idx val="138"/>
        <c:marker>
          <c:symbol val="none"/>
        </c:marker>
      </c:pivotFmt>
      <c:pivotFmt>
        <c:idx val="139"/>
        <c:marker>
          <c:symbol val="none"/>
        </c:marker>
      </c:pivotFmt>
      <c:pivotFmt>
        <c:idx val="140"/>
        <c:marker>
          <c:symbol val="none"/>
        </c:marker>
      </c:pivotFmt>
      <c:pivotFmt>
        <c:idx val="141"/>
        <c:marker>
          <c:symbol val="none"/>
        </c:marker>
      </c:pivotFmt>
      <c:pivotFmt>
        <c:idx val="142"/>
        <c:marker>
          <c:symbol val="none"/>
        </c:marker>
      </c:pivotFmt>
      <c:pivotFmt>
        <c:idx val="143"/>
        <c:marker>
          <c:symbol val="none"/>
        </c:marker>
      </c:pivotFmt>
      <c:pivotFmt>
        <c:idx val="144"/>
        <c:marker>
          <c:symbol val="none"/>
        </c:marker>
      </c:pivotFmt>
      <c:pivotFmt>
        <c:idx val="145"/>
        <c:marker>
          <c:symbol val="none"/>
        </c:marker>
      </c:pivotFmt>
      <c:pivotFmt>
        <c:idx val="146"/>
        <c:marker>
          <c:symbol val="none"/>
        </c:marker>
      </c:pivotFmt>
      <c:pivotFmt>
        <c:idx val="147"/>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8"/>
        <c:marker>
          <c:symbol val="none"/>
        </c:marker>
      </c:pivotFmt>
      <c:pivotFmt>
        <c:idx val="149"/>
        <c:marker>
          <c:symbol val="none"/>
        </c:marker>
      </c:pivotFmt>
      <c:pivotFmt>
        <c:idx val="150"/>
        <c:marker>
          <c:symbol val="none"/>
        </c:marker>
      </c:pivotFmt>
      <c:pivotFmt>
        <c:idx val="151"/>
        <c:marker>
          <c:symbol val="none"/>
        </c:marker>
      </c:pivotFmt>
      <c:pivotFmt>
        <c:idx val="152"/>
        <c:marker>
          <c:symbol val="none"/>
        </c:marker>
      </c:pivotFmt>
      <c:pivotFmt>
        <c:idx val="153"/>
        <c:marker>
          <c:symbol val="none"/>
        </c:marker>
      </c:pivotFmt>
      <c:pivotFmt>
        <c:idx val="15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5"/>
        <c:marker>
          <c:symbol val="none"/>
        </c:marker>
      </c:pivotFmt>
      <c:pivotFmt>
        <c:idx val="156"/>
        <c:marker>
          <c:symbol val="none"/>
        </c:marker>
        <c:dLbl>
          <c:idx val="0"/>
          <c:delete val="1"/>
          <c:extLst>
            <c:ext xmlns:c15="http://schemas.microsoft.com/office/drawing/2012/chart" uri="{CE6537A1-D6FC-4f65-9D91-7224C49458BB}"/>
          </c:extLst>
        </c:dLbl>
      </c:pivotFmt>
      <c:pivotFmt>
        <c:idx val="157"/>
        <c:marker>
          <c:symbol val="none"/>
        </c:marker>
        <c:dLbl>
          <c:idx val="0"/>
          <c:delete val="1"/>
          <c:extLst>
            <c:ext xmlns:c15="http://schemas.microsoft.com/office/drawing/2012/chart" uri="{CE6537A1-D6FC-4f65-9D91-7224C49458BB}"/>
          </c:extLst>
        </c:dLbl>
      </c:pivotFmt>
      <c:pivotFmt>
        <c:idx val="158"/>
        <c:marker>
          <c:symbol val="none"/>
        </c:marker>
      </c:pivotFmt>
      <c:pivotFmt>
        <c:idx val="159"/>
        <c:marker>
          <c:symbol val="none"/>
        </c:marker>
        <c:dLbl>
          <c:idx val="0"/>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60"/>
        <c:marker>
          <c:symbol val="none"/>
        </c:marker>
        <c:dLbl>
          <c:idx val="0"/>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61"/>
        <c:marker>
          <c:symbol val="none"/>
        </c:marker>
      </c:pivotFmt>
      <c:pivotFmt>
        <c:idx val="162"/>
        <c:marker>
          <c:symbol val="none"/>
        </c:marker>
      </c:pivotFmt>
      <c:pivotFmt>
        <c:idx val="163"/>
        <c:marker>
          <c:symbol val="none"/>
        </c:marker>
      </c:pivotFmt>
      <c:pivotFmt>
        <c:idx val="164"/>
        <c:marker>
          <c:symbol val="none"/>
        </c:marker>
      </c:pivotFmt>
      <c:pivotFmt>
        <c:idx val="165"/>
        <c:marker>
          <c:symbol val="none"/>
        </c:marker>
      </c:pivotFmt>
      <c:pivotFmt>
        <c:idx val="166"/>
        <c:marker>
          <c:symbol val="none"/>
        </c:marker>
      </c:pivotFmt>
      <c:pivotFmt>
        <c:idx val="167"/>
        <c:marker>
          <c:symbol val="none"/>
        </c:marker>
      </c:pivotFmt>
      <c:pivotFmt>
        <c:idx val="168"/>
        <c:marker>
          <c:symbol val="none"/>
        </c:marker>
      </c:pivotFmt>
      <c:pivotFmt>
        <c:idx val="169"/>
        <c:marker>
          <c:symbol val="none"/>
        </c:marker>
      </c:pivotFmt>
      <c:pivotFmt>
        <c:idx val="170"/>
        <c:marker>
          <c:symbol val="none"/>
        </c:marker>
      </c:pivotFmt>
      <c:pivotFmt>
        <c:idx val="171"/>
        <c:marker>
          <c:symbol val="none"/>
        </c:marker>
      </c:pivotFmt>
      <c:pivotFmt>
        <c:idx val="172"/>
        <c:marker>
          <c:symbol val="none"/>
        </c:marker>
      </c:pivotFmt>
      <c:pivotFmt>
        <c:idx val="173"/>
        <c:marker>
          <c:symbol val="none"/>
        </c:marker>
      </c:pivotFmt>
      <c:pivotFmt>
        <c:idx val="174"/>
        <c:marker>
          <c:symbol val="none"/>
        </c:marker>
      </c:pivotFmt>
      <c:pivotFmt>
        <c:idx val="175"/>
        <c:marker>
          <c:symbol val="none"/>
        </c:marker>
      </c:pivotFmt>
      <c:pivotFmt>
        <c:idx val="176"/>
        <c:dLbl>
          <c:idx val="0"/>
          <c:layout>
            <c:manualLayout>
              <c:x val="-6.4308681672026503E-3"/>
              <c:y val="-8.8252835398411594E-3"/>
            </c:manualLayout>
          </c:layout>
          <c:tx>
            <c:rich>
              <a:bodyPr/>
              <a:lstStyle/>
              <a:p>
                <a:pPr>
                  <a:defRPr/>
                </a:pPr>
                <a:r>
                  <a:rPr lang="en-US"/>
                  <a:t>JBIC - Tanjung Jati B Expansion</a:t>
                </a:r>
              </a:p>
              <a:p>
                <a:pPr>
                  <a:defRPr/>
                </a:pPr>
                <a:r>
                  <a:rPr lang="en-US"/>
                  <a:t>Indonesia</a:t>
                </a:r>
              </a:p>
            </c:rich>
          </c:tx>
          <c:spPr>
            <a:ln>
              <a:noFill/>
            </a:ln>
          </c:spPr>
          <c:dLblPos val="ctr"/>
          <c:showLegendKey val="0"/>
          <c:showVal val="0"/>
          <c:showCatName val="0"/>
          <c:showSerName val="1"/>
          <c:showPercent val="0"/>
          <c:showBubbleSize val="0"/>
          <c:extLst>
            <c:ext xmlns:c15="http://schemas.microsoft.com/office/drawing/2012/chart" uri="{CE6537A1-D6FC-4f65-9D91-7224C49458BB}"/>
          </c:extLst>
        </c:dLbl>
      </c:pivotFmt>
      <c:pivotFmt>
        <c:idx val="177"/>
        <c:dLbl>
          <c:idx val="0"/>
          <c:tx>
            <c:rich>
              <a:bodyPr/>
              <a:lstStyle/>
              <a:p>
                <a:r>
                  <a:rPr lang="en-US"/>
                  <a:t>JBIC - Toyo-Thai</a:t>
                </a:r>
              </a:p>
              <a:p>
                <a:r>
                  <a:rPr lang="en-US"/>
                  <a:t>Myanmar </a:t>
                </a:r>
              </a:p>
            </c:rich>
          </c:tx>
          <c:showLegendKey val="0"/>
          <c:showVal val="0"/>
          <c:showCatName val="0"/>
          <c:showSerName val="1"/>
          <c:showPercent val="0"/>
          <c:showBubbleSize val="0"/>
          <c:extLst>
            <c:ext xmlns:c15="http://schemas.microsoft.com/office/drawing/2012/chart" uri="{CE6537A1-D6FC-4f65-9D91-7224C49458BB}"/>
          </c:extLst>
        </c:dLbl>
      </c:pivotFmt>
      <c:pivotFmt>
        <c:idx val="178"/>
        <c:dLbl>
          <c:idx val="0"/>
          <c:tx>
            <c:rich>
              <a:bodyPr/>
              <a:lstStyle/>
              <a:p>
                <a:r>
                  <a:rPr lang="en-US"/>
                  <a:t>JBIC - Batang</a:t>
                </a:r>
              </a:p>
              <a:p>
                <a:r>
                  <a:rPr lang="en-US"/>
                  <a:t>Indonesia</a:t>
                </a:r>
              </a:p>
            </c:rich>
          </c:tx>
          <c:showLegendKey val="0"/>
          <c:showVal val="0"/>
          <c:showCatName val="0"/>
          <c:showSerName val="1"/>
          <c:showPercent val="0"/>
          <c:showBubbleSize val="0"/>
          <c:extLst>
            <c:ext xmlns:c15="http://schemas.microsoft.com/office/drawing/2012/chart" uri="{CE6537A1-D6FC-4f65-9D91-7224C49458BB}"/>
          </c:extLst>
        </c:dLbl>
      </c:pivotFmt>
      <c:pivotFmt>
        <c:idx val="179"/>
        <c:dLbl>
          <c:idx val="0"/>
          <c:tx>
            <c:rich>
              <a:bodyPr/>
              <a:lstStyle/>
              <a:p>
                <a:r>
                  <a:rPr lang="en-US"/>
                  <a:t>JBIC - Nghi Son 2</a:t>
                </a:r>
              </a:p>
              <a:p>
                <a:r>
                  <a:rPr lang="en-US"/>
                  <a:t>Vietnam </a:t>
                </a:r>
              </a:p>
            </c:rich>
          </c:tx>
          <c:showLegendKey val="0"/>
          <c:showVal val="1"/>
          <c:showCatName val="0"/>
          <c:showSerName val="1"/>
          <c:showPercent val="0"/>
          <c:showBubbleSize val="0"/>
          <c:extLst>
            <c:ext xmlns:c15="http://schemas.microsoft.com/office/drawing/2012/chart" uri="{CE6537A1-D6FC-4f65-9D91-7224C49458BB}"/>
          </c:extLst>
        </c:dLbl>
      </c:pivotFmt>
      <c:pivotFmt>
        <c:idx val="180"/>
        <c:marker>
          <c:symbol val="none"/>
        </c:marker>
      </c:pivotFmt>
      <c:pivotFmt>
        <c:idx val="181"/>
        <c:marker>
          <c:symbol val="none"/>
        </c:marker>
      </c:pivotFmt>
      <c:pivotFmt>
        <c:idx val="182"/>
        <c:marker>
          <c:symbol val="none"/>
        </c:marker>
      </c:pivotFmt>
      <c:pivotFmt>
        <c:idx val="183"/>
        <c:marker>
          <c:symbol val="none"/>
        </c:marker>
      </c:pivotFmt>
      <c:pivotFmt>
        <c:idx val="184"/>
        <c:marker>
          <c:symbol val="none"/>
        </c:marker>
      </c:pivotFmt>
      <c:pivotFmt>
        <c:idx val="185"/>
        <c:marker>
          <c:symbol val="none"/>
        </c:marker>
      </c:pivotFmt>
      <c:pivotFmt>
        <c:idx val="186"/>
        <c:marker>
          <c:symbol val="none"/>
        </c:marker>
      </c:pivotFmt>
      <c:pivotFmt>
        <c:idx val="187"/>
        <c:marker>
          <c:symbol val="none"/>
        </c:marker>
      </c:pivotFmt>
      <c:pivotFmt>
        <c:idx val="188"/>
        <c:marker>
          <c:symbol val="none"/>
        </c:marker>
      </c:pivotFmt>
      <c:pivotFmt>
        <c:idx val="189"/>
        <c:marker>
          <c:symbol val="none"/>
        </c:marker>
      </c:pivotFmt>
      <c:pivotFmt>
        <c:idx val="190"/>
        <c:marker>
          <c:symbol val="none"/>
        </c:marker>
      </c:pivotFmt>
      <c:pivotFmt>
        <c:idx val="191"/>
        <c:marker>
          <c:symbol val="none"/>
        </c:marker>
      </c:pivotFmt>
      <c:pivotFmt>
        <c:idx val="192"/>
        <c:marker>
          <c:symbol val="none"/>
        </c:marker>
      </c:pivotFmt>
      <c:pivotFmt>
        <c:idx val="193"/>
        <c:dLbl>
          <c:idx val="0"/>
          <c:tx>
            <c:rich>
              <a:bodyPr/>
              <a:lstStyle/>
              <a:p>
                <a:r>
                  <a:rPr lang="en-US"/>
                  <a:t>JBIC</a:t>
                </a:r>
                <a:r>
                  <a:rPr lang="en-US" baseline="0"/>
                  <a:t> - Toyo-Thai Myanmar</a:t>
                </a:r>
                <a:endParaRPr lang="en-US"/>
              </a:p>
            </c:rich>
          </c:tx>
          <c:showLegendKey val="0"/>
          <c:showVal val="1"/>
          <c:showCatName val="0"/>
          <c:showSerName val="0"/>
          <c:showPercent val="0"/>
          <c:showBubbleSize val="0"/>
          <c:extLst>
            <c:ext xmlns:c15="http://schemas.microsoft.com/office/drawing/2012/chart" uri="{CE6537A1-D6FC-4f65-9D91-7224C49458BB}"/>
          </c:extLst>
        </c:dLbl>
      </c:pivotFmt>
      <c:pivotFmt>
        <c:idx val="194"/>
        <c:dLbl>
          <c:idx val="0"/>
          <c:tx>
            <c:rich>
              <a:bodyPr/>
              <a:lstStyle/>
              <a:p>
                <a:r>
                  <a:rPr lang="en-US"/>
                  <a:t>JBIC - Tanjung Jati B Expansion</a:t>
                </a:r>
              </a:p>
              <a:p>
                <a:r>
                  <a:rPr lang="en-US"/>
                  <a:t>Indonesia</a:t>
                </a:r>
              </a:p>
            </c:rich>
          </c:tx>
          <c:showLegendKey val="0"/>
          <c:showVal val="1"/>
          <c:showCatName val="0"/>
          <c:showSerName val="0"/>
          <c:showPercent val="0"/>
          <c:showBubbleSize val="0"/>
          <c:extLst>
            <c:ext xmlns:c15="http://schemas.microsoft.com/office/drawing/2012/chart" uri="{CE6537A1-D6FC-4f65-9D91-7224C49458BB}"/>
          </c:extLst>
        </c:dLbl>
      </c:pivotFmt>
      <c:pivotFmt>
        <c:idx val="195"/>
        <c:dLbl>
          <c:idx val="0"/>
          <c:tx>
            <c:rich>
              <a:bodyPr/>
              <a:lstStyle/>
              <a:p>
                <a:r>
                  <a:rPr lang="en-US"/>
                  <a:t>JBIC - Nghi Son 2 </a:t>
                </a:r>
              </a:p>
              <a:p>
                <a:r>
                  <a:rPr lang="en-US"/>
                  <a:t>Vietnam</a:t>
                </a:r>
              </a:p>
            </c:rich>
          </c:tx>
          <c:showLegendKey val="0"/>
          <c:showVal val="1"/>
          <c:showCatName val="0"/>
          <c:showSerName val="0"/>
          <c:showPercent val="0"/>
          <c:showBubbleSize val="0"/>
          <c:extLst>
            <c:ext xmlns:c15="http://schemas.microsoft.com/office/drawing/2012/chart" uri="{CE6537A1-D6FC-4f65-9D91-7224C49458BB}"/>
          </c:extLst>
        </c:dLbl>
      </c:pivotFmt>
      <c:pivotFmt>
        <c:idx val="196"/>
        <c:dLbl>
          <c:idx val="0"/>
          <c:tx>
            <c:rich>
              <a:bodyPr/>
              <a:lstStyle/>
              <a:p>
                <a:r>
                  <a:rPr lang="en-US"/>
                  <a:t>JBIC</a:t>
                </a:r>
                <a:r>
                  <a:rPr lang="en-US" baseline="0"/>
                  <a:t> - Batang </a:t>
                </a:r>
              </a:p>
              <a:p>
                <a:r>
                  <a:rPr lang="en-US" baseline="0"/>
                  <a:t>Indonesia</a:t>
                </a:r>
                <a:endParaRPr lang="en-US"/>
              </a:p>
            </c:rich>
          </c:tx>
          <c:showLegendKey val="0"/>
          <c:showVal val="1"/>
          <c:showCatName val="0"/>
          <c:showSerName val="0"/>
          <c:showPercent val="0"/>
          <c:showBubbleSize val="0"/>
          <c:extLst>
            <c:ext xmlns:c15="http://schemas.microsoft.com/office/drawing/2012/chart" uri="{CE6537A1-D6FC-4f65-9D91-7224C49458BB}"/>
          </c:extLst>
        </c:dLbl>
      </c:pivotFmt>
      <c:pivotFmt>
        <c:idx val="197"/>
        <c:dLbl>
          <c:idx val="0"/>
          <c:delete val="1"/>
          <c:extLst>
            <c:ext xmlns:c15="http://schemas.microsoft.com/office/drawing/2012/chart" uri="{CE6537A1-D6FC-4f65-9D91-7224C49458BB}"/>
          </c:extLst>
        </c:dLbl>
      </c:pivotFmt>
      <c:pivotFmt>
        <c:idx val="198"/>
        <c:marker>
          <c:symbol val="none"/>
        </c:marker>
      </c:pivotFmt>
      <c:pivotFmt>
        <c:idx val="199"/>
        <c:marker>
          <c:symbol val="none"/>
        </c:marker>
      </c:pivotFmt>
      <c:pivotFmt>
        <c:idx val="200"/>
        <c:marker>
          <c:symbol val="none"/>
        </c:marker>
      </c:pivotFmt>
      <c:pivotFmt>
        <c:idx val="201"/>
        <c:marker>
          <c:symbol val="none"/>
        </c:marker>
      </c:pivotFmt>
      <c:pivotFmt>
        <c:idx val="202"/>
        <c:marker>
          <c:symbol val="none"/>
        </c:marker>
      </c:pivotFmt>
      <c:pivotFmt>
        <c:idx val="203"/>
        <c:marker>
          <c:symbol val="none"/>
        </c:marker>
      </c:pivotFmt>
      <c:pivotFmt>
        <c:idx val="204"/>
        <c:marker>
          <c:symbol val="none"/>
        </c:marker>
      </c:pivotFmt>
      <c:pivotFmt>
        <c:idx val="205"/>
        <c:marker>
          <c:symbol val="none"/>
        </c:marker>
      </c:pivotFmt>
      <c:pivotFmt>
        <c:idx val="206"/>
        <c:marker>
          <c:symbol val="none"/>
        </c:marker>
      </c:pivotFmt>
      <c:pivotFmt>
        <c:idx val="207"/>
        <c:marker>
          <c:symbol val="none"/>
        </c:marker>
      </c:pivotFmt>
      <c:pivotFmt>
        <c:idx val="208"/>
        <c:dLbl>
          <c:idx val="0"/>
          <c:tx>
            <c:rich>
              <a:bodyPr/>
              <a:lstStyle/>
              <a:p>
                <a:r>
                  <a:rPr lang="en-US"/>
                  <a:t>JBIC- Vung Ang 2</a:t>
                </a:r>
              </a:p>
              <a:p>
                <a:r>
                  <a:rPr lang="en-US"/>
                  <a:t>Vietnam </a:t>
                </a:r>
              </a:p>
            </c:rich>
          </c:tx>
          <c:showLegendKey val="0"/>
          <c:showVal val="0"/>
          <c:showCatName val="0"/>
          <c:showSerName val="1"/>
          <c:showPercent val="0"/>
          <c:showBubbleSize val="0"/>
          <c:extLst>
            <c:ext xmlns:c15="http://schemas.microsoft.com/office/drawing/2012/chart" uri="{CE6537A1-D6FC-4f65-9D91-7224C49458BB}"/>
          </c:extLst>
        </c:dLbl>
      </c:pivotFmt>
      <c:pivotFmt>
        <c:idx val="209"/>
        <c:dLbl>
          <c:idx val="0"/>
          <c:tx>
            <c:rich>
              <a:bodyPr/>
              <a:lstStyle/>
              <a:p>
                <a:r>
                  <a:rPr lang="en-US"/>
                  <a:t>JBIC - Van Phong</a:t>
                </a:r>
              </a:p>
              <a:p>
                <a:r>
                  <a:rPr lang="en-US"/>
                  <a:t>Vietnam</a:t>
                </a:r>
              </a:p>
            </c:rich>
          </c:tx>
          <c:showLegendKey val="0"/>
          <c:showVal val="0"/>
          <c:showCatName val="0"/>
          <c:showSerName val="1"/>
          <c:showPercent val="0"/>
          <c:showBubbleSize val="0"/>
          <c:extLst>
            <c:ext xmlns:c15="http://schemas.microsoft.com/office/drawing/2012/chart" uri="{CE6537A1-D6FC-4f65-9D91-7224C49458BB}"/>
          </c:extLst>
        </c:dLbl>
      </c:pivotFmt>
      <c:pivotFmt>
        <c:idx val="210"/>
        <c:marker>
          <c:symbol val="none"/>
        </c:marker>
      </c:pivotFmt>
      <c:pivotFmt>
        <c:idx val="211"/>
        <c:marker>
          <c:symbol val="none"/>
        </c:marker>
      </c:pivotFmt>
      <c:pivotFmt>
        <c:idx val="212"/>
        <c:marker>
          <c:symbol val="none"/>
        </c:marker>
      </c:pivotFmt>
      <c:pivotFmt>
        <c:idx val="213"/>
        <c:marker>
          <c:symbol val="none"/>
        </c:marker>
      </c:pivotFmt>
      <c:pivotFmt>
        <c:idx val="214"/>
        <c:marker>
          <c:symbol val="none"/>
        </c:marker>
      </c:pivotFmt>
      <c:pivotFmt>
        <c:idx val="215"/>
        <c:marker>
          <c:symbol val="none"/>
        </c:marker>
      </c:pivotFmt>
      <c:pivotFmt>
        <c:idx val="216"/>
        <c:marker>
          <c:symbol val="none"/>
        </c:marker>
      </c:pivotFmt>
      <c:pivotFmt>
        <c:idx val="217"/>
        <c:marker>
          <c:symbol val="none"/>
        </c:marker>
      </c:pivotFmt>
      <c:pivotFmt>
        <c:idx val="218"/>
        <c:marker>
          <c:symbol val="none"/>
        </c:marker>
      </c:pivotFmt>
      <c:pivotFmt>
        <c:idx val="219"/>
        <c:marker>
          <c:symbol val="none"/>
        </c:marker>
      </c:pivotFmt>
      <c:pivotFmt>
        <c:idx val="220"/>
        <c:marker>
          <c:symbol val="none"/>
        </c:marker>
      </c:pivotFmt>
      <c:pivotFmt>
        <c:idx val="221"/>
        <c:marker>
          <c:symbol val="none"/>
        </c:marker>
      </c:pivotFmt>
      <c:pivotFmt>
        <c:idx val="222"/>
        <c:marker>
          <c:symbol val="none"/>
        </c:marker>
      </c:pivotFmt>
      <c:pivotFmt>
        <c:idx val="223"/>
        <c:marker>
          <c:symbol val="none"/>
        </c:marker>
      </c:pivotFmt>
      <c:pivotFmt>
        <c:idx val="224"/>
        <c:marker>
          <c:symbol val="none"/>
        </c:marker>
      </c:pivotFmt>
      <c:pivotFmt>
        <c:idx val="225"/>
        <c:marker>
          <c:symbol val="none"/>
        </c:marker>
      </c:pivotFmt>
      <c:pivotFmt>
        <c:idx val="226"/>
        <c:marker>
          <c:symbol val="none"/>
        </c:marker>
      </c:pivotFmt>
      <c:pivotFmt>
        <c:idx val="227"/>
        <c:marker>
          <c:symbol val="none"/>
        </c:marker>
      </c:pivotFmt>
      <c:pivotFmt>
        <c:idx val="228"/>
        <c:marker>
          <c:symbol val="none"/>
        </c:marker>
      </c:pivotFmt>
      <c:pivotFmt>
        <c:idx val="229"/>
        <c:marker>
          <c:symbol val="none"/>
        </c:marker>
      </c:pivotFmt>
      <c:pivotFmt>
        <c:idx val="230"/>
        <c:marker>
          <c:symbol val="none"/>
        </c:marker>
      </c:pivotFmt>
      <c:pivotFmt>
        <c:idx val="231"/>
        <c:marker>
          <c:symbol val="none"/>
        </c:marker>
      </c:pivotFmt>
      <c:pivotFmt>
        <c:idx val="232"/>
        <c:marker>
          <c:symbol val="none"/>
        </c:marker>
      </c:pivotFmt>
      <c:pivotFmt>
        <c:idx val="233"/>
        <c:marker>
          <c:symbol val="none"/>
        </c:marker>
      </c:pivotFmt>
      <c:pivotFmt>
        <c:idx val="234"/>
        <c:marker>
          <c:symbol val="none"/>
        </c:marker>
      </c:pivotFmt>
      <c:pivotFmt>
        <c:idx val="235"/>
        <c:marker>
          <c:symbol val="none"/>
        </c:marker>
      </c:pivotFmt>
      <c:pivotFmt>
        <c:idx val="236"/>
        <c:marker>
          <c:symbol val="none"/>
        </c:marker>
      </c:pivotFmt>
      <c:pivotFmt>
        <c:idx val="237"/>
        <c:marker>
          <c:symbol val="none"/>
        </c:marker>
      </c:pivotFmt>
      <c:pivotFmt>
        <c:idx val="238"/>
        <c:marker>
          <c:symbol val="none"/>
        </c:marker>
      </c:pivotFmt>
      <c:pivotFmt>
        <c:idx val="239"/>
        <c:marker>
          <c:symbol val="none"/>
        </c:marker>
      </c:pivotFmt>
      <c:pivotFmt>
        <c:idx val="240"/>
        <c:marker>
          <c:symbol val="none"/>
        </c:marker>
      </c:pivotFmt>
      <c:pivotFmt>
        <c:idx val="241"/>
        <c:marker>
          <c:symbol val="none"/>
        </c:marker>
      </c:pivotFmt>
      <c:pivotFmt>
        <c:idx val="242"/>
        <c:marker>
          <c:symbol val="none"/>
        </c:marker>
      </c:pivotFmt>
      <c:pivotFmt>
        <c:idx val="243"/>
        <c:marker>
          <c:symbol val="none"/>
        </c:marker>
      </c:pivotFmt>
      <c:pivotFmt>
        <c:idx val="244"/>
        <c:marker>
          <c:symbol val="none"/>
        </c:marker>
      </c:pivotFmt>
      <c:pivotFmt>
        <c:idx val="245"/>
        <c:marker>
          <c:symbol val="none"/>
        </c:marker>
      </c:pivotFmt>
      <c:pivotFmt>
        <c:idx val="246"/>
        <c:marker>
          <c:symbol val="none"/>
        </c:marker>
      </c:pivotFmt>
      <c:pivotFmt>
        <c:idx val="247"/>
        <c:marker>
          <c:symbol val="none"/>
        </c:marker>
      </c:pivotFmt>
      <c:pivotFmt>
        <c:idx val="248"/>
        <c:marker>
          <c:symbol val="none"/>
        </c:marker>
      </c:pivotFmt>
      <c:pivotFmt>
        <c:idx val="249"/>
        <c:marker>
          <c:symbol val="none"/>
        </c:marker>
      </c:pivotFmt>
      <c:pivotFmt>
        <c:idx val="250"/>
        <c:marker>
          <c:symbol val="none"/>
        </c:marker>
      </c:pivotFmt>
      <c:pivotFmt>
        <c:idx val="251"/>
        <c:marker>
          <c:symbol val="none"/>
        </c:marker>
      </c:pivotFmt>
      <c:pivotFmt>
        <c:idx val="252"/>
        <c:marker>
          <c:symbol val="none"/>
        </c:marker>
      </c:pivotFmt>
      <c:pivotFmt>
        <c:idx val="253"/>
        <c:marker>
          <c:symbol val="none"/>
        </c:marker>
      </c:pivotFmt>
      <c:pivotFmt>
        <c:idx val="254"/>
        <c:marker>
          <c:symbol val="none"/>
        </c:marker>
      </c:pivotFmt>
      <c:pivotFmt>
        <c:idx val="255"/>
        <c:marker>
          <c:symbol val="none"/>
        </c:marker>
      </c:pivotFmt>
      <c:pivotFmt>
        <c:idx val="256"/>
        <c:marker>
          <c:symbol val="none"/>
        </c:marker>
      </c:pivotFmt>
      <c:pivotFmt>
        <c:idx val="257"/>
        <c:marker>
          <c:symbol val="none"/>
        </c:marker>
      </c:pivotFmt>
      <c:pivotFmt>
        <c:idx val="258"/>
        <c:marker>
          <c:symbol val="none"/>
        </c:marker>
      </c:pivotFmt>
      <c:pivotFmt>
        <c:idx val="259"/>
        <c:marker>
          <c:symbol val="none"/>
        </c:marker>
      </c:pivotFmt>
      <c:pivotFmt>
        <c:idx val="260"/>
        <c:marker>
          <c:symbol val="none"/>
        </c:marker>
      </c:pivotFmt>
      <c:pivotFmt>
        <c:idx val="261"/>
        <c:marker>
          <c:symbol val="none"/>
        </c:marker>
      </c:pivotFmt>
      <c:pivotFmt>
        <c:idx val="262"/>
        <c:marker>
          <c:symbol val="none"/>
        </c:marker>
      </c:pivotFmt>
      <c:pivotFmt>
        <c:idx val="263"/>
        <c:marker>
          <c:symbol val="none"/>
        </c:marker>
      </c:pivotFmt>
      <c:pivotFmt>
        <c:idx val="264"/>
        <c:marker>
          <c:symbol val="none"/>
        </c:marker>
      </c:pivotFmt>
      <c:pivotFmt>
        <c:idx val="265"/>
        <c:marker>
          <c:symbol val="none"/>
        </c:marker>
      </c:pivotFmt>
      <c:pivotFmt>
        <c:idx val="266"/>
        <c:marker>
          <c:symbol val="none"/>
        </c:marker>
      </c:pivotFmt>
      <c:pivotFmt>
        <c:idx val="267"/>
        <c:marker>
          <c:symbol val="none"/>
        </c:marker>
      </c:pivotFmt>
      <c:pivotFmt>
        <c:idx val="268"/>
        <c:marker>
          <c:symbol val="none"/>
        </c:marker>
      </c:pivotFmt>
      <c:pivotFmt>
        <c:idx val="269"/>
        <c:marker>
          <c:symbol val="none"/>
        </c:marker>
      </c:pivotFmt>
      <c:pivotFmt>
        <c:idx val="270"/>
        <c:marker>
          <c:symbol val="none"/>
        </c:marker>
      </c:pivotFmt>
      <c:pivotFmt>
        <c:idx val="271"/>
        <c:marker>
          <c:symbol val="none"/>
        </c:marker>
      </c:pivotFmt>
      <c:pivotFmt>
        <c:idx val="272"/>
        <c:marker>
          <c:symbol val="none"/>
        </c:marker>
      </c:pivotFmt>
      <c:pivotFmt>
        <c:idx val="273"/>
        <c:marker>
          <c:symbol val="none"/>
        </c:marker>
      </c:pivotFmt>
      <c:pivotFmt>
        <c:idx val="274"/>
        <c:marker>
          <c:symbol val="none"/>
        </c:marker>
      </c:pivotFmt>
      <c:pivotFmt>
        <c:idx val="275"/>
        <c:marker>
          <c:symbol val="none"/>
        </c:marker>
      </c:pivotFmt>
      <c:pivotFmt>
        <c:idx val="276"/>
        <c:marker>
          <c:symbol val="none"/>
        </c:marker>
      </c:pivotFmt>
      <c:pivotFmt>
        <c:idx val="277"/>
        <c:marker>
          <c:symbol val="none"/>
        </c:marker>
      </c:pivotFmt>
      <c:pivotFmt>
        <c:idx val="278"/>
        <c:marker>
          <c:symbol val="none"/>
        </c:marker>
      </c:pivotFmt>
      <c:pivotFmt>
        <c:idx val="279"/>
        <c:marker>
          <c:symbol val="none"/>
        </c:marker>
      </c:pivotFmt>
      <c:pivotFmt>
        <c:idx val="280"/>
        <c:marker>
          <c:symbol val="none"/>
        </c:marker>
      </c:pivotFmt>
      <c:pivotFmt>
        <c:idx val="281"/>
        <c:marker>
          <c:symbol val="none"/>
        </c:marker>
      </c:pivotFmt>
      <c:pivotFmt>
        <c:idx val="282"/>
        <c:marker>
          <c:symbol val="none"/>
        </c:marker>
      </c:pivotFmt>
      <c:pivotFmt>
        <c:idx val="283"/>
        <c:marker>
          <c:symbol val="none"/>
        </c:marker>
      </c:pivotFmt>
      <c:pivotFmt>
        <c:idx val="284"/>
        <c:marker>
          <c:symbol val="none"/>
        </c:marker>
      </c:pivotFmt>
      <c:pivotFmt>
        <c:idx val="285"/>
        <c:marker>
          <c:symbol val="none"/>
        </c:marker>
      </c:pivotFmt>
      <c:pivotFmt>
        <c:idx val="286"/>
        <c:marker>
          <c:symbol val="none"/>
        </c:marker>
      </c:pivotFmt>
      <c:pivotFmt>
        <c:idx val="287"/>
        <c:marker>
          <c:symbol val="none"/>
        </c:marker>
      </c:pivotFmt>
      <c:pivotFmt>
        <c:idx val="288"/>
        <c:marker>
          <c:symbol val="none"/>
        </c:marker>
      </c:pivotFmt>
      <c:pivotFmt>
        <c:idx val="289"/>
        <c:marker>
          <c:symbol val="none"/>
        </c:marker>
      </c:pivotFmt>
      <c:pivotFmt>
        <c:idx val="290"/>
        <c:marker>
          <c:symbol val="none"/>
        </c:marker>
      </c:pivotFmt>
      <c:pivotFmt>
        <c:idx val="291"/>
        <c:marker>
          <c:symbol val="none"/>
        </c:marker>
      </c:pivotFmt>
      <c:pivotFmt>
        <c:idx val="292"/>
        <c:marker>
          <c:symbol val="none"/>
        </c:marker>
      </c:pivotFmt>
      <c:pivotFmt>
        <c:idx val="293"/>
        <c:marker>
          <c:symbol val="none"/>
        </c:marker>
      </c:pivotFmt>
      <c:pivotFmt>
        <c:idx val="294"/>
        <c:marker>
          <c:symbol val="none"/>
        </c:marker>
      </c:pivotFmt>
      <c:pivotFmt>
        <c:idx val="295"/>
        <c:marker>
          <c:symbol val="none"/>
        </c:marker>
      </c:pivotFmt>
      <c:pivotFmt>
        <c:idx val="296"/>
        <c:marker>
          <c:symbol val="none"/>
        </c:marker>
      </c:pivotFmt>
      <c:pivotFmt>
        <c:idx val="297"/>
        <c:marker>
          <c:symbol val="none"/>
        </c:marker>
      </c:pivotFmt>
      <c:pivotFmt>
        <c:idx val="298"/>
        <c:marker>
          <c:symbol val="none"/>
        </c:marker>
      </c:pivotFmt>
      <c:pivotFmt>
        <c:idx val="299"/>
        <c:marker>
          <c:symbol val="none"/>
        </c:marker>
      </c:pivotFmt>
      <c:pivotFmt>
        <c:idx val="300"/>
        <c:marker>
          <c:symbol val="none"/>
        </c:marker>
      </c:pivotFmt>
      <c:pivotFmt>
        <c:idx val="301"/>
        <c:marker>
          <c:symbol val="none"/>
        </c:marker>
      </c:pivotFmt>
      <c:pivotFmt>
        <c:idx val="302"/>
        <c:marker>
          <c:symbol val="none"/>
        </c:marker>
      </c:pivotFmt>
      <c:pivotFmt>
        <c:idx val="303"/>
        <c:marker>
          <c:symbol val="none"/>
        </c:marker>
      </c:pivotFmt>
      <c:pivotFmt>
        <c:idx val="304"/>
        <c:marker>
          <c:symbol val="none"/>
        </c:marker>
      </c:pivotFmt>
      <c:pivotFmt>
        <c:idx val="305"/>
        <c:marker>
          <c:symbol val="none"/>
        </c:marker>
      </c:pivotFmt>
      <c:pivotFmt>
        <c:idx val="306"/>
        <c:marker>
          <c:symbol val="none"/>
        </c:marker>
      </c:pivotFmt>
      <c:pivotFmt>
        <c:idx val="307"/>
        <c:marker>
          <c:symbol val="none"/>
        </c:marker>
      </c:pivotFmt>
      <c:pivotFmt>
        <c:idx val="308"/>
        <c:marker>
          <c:symbol val="none"/>
        </c:marker>
      </c:pivotFmt>
      <c:pivotFmt>
        <c:idx val="309"/>
        <c:marker>
          <c:symbol val="none"/>
        </c:marker>
      </c:pivotFmt>
      <c:pivotFmt>
        <c:idx val="310"/>
        <c:marker>
          <c:symbol val="none"/>
        </c:marker>
      </c:pivotFmt>
      <c:pivotFmt>
        <c:idx val="311"/>
        <c:marker>
          <c:symbol val="none"/>
        </c:marker>
      </c:pivotFmt>
      <c:pivotFmt>
        <c:idx val="312"/>
        <c:marker>
          <c:symbol val="none"/>
        </c:marker>
      </c:pivotFmt>
      <c:pivotFmt>
        <c:idx val="313"/>
        <c:marker>
          <c:symbol val="none"/>
        </c:marker>
      </c:pivotFmt>
      <c:pivotFmt>
        <c:idx val="314"/>
        <c:marker>
          <c:symbol val="none"/>
        </c:marker>
      </c:pivotFmt>
      <c:pivotFmt>
        <c:idx val="315"/>
        <c:marker>
          <c:symbol val="none"/>
        </c:marker>
      </c:pivotFmt>
      <c:pivotFmt>
        <c:idx val="316"/>
        <c:marker>
          <c:symbol val="none"/>
        </c:marker>
      </c:pivotFmt>
      <c:pivotFmt>
        <c:idx val="317"/>
        <c:marker>
          <c:symbol val="none"/>
        </c:marker>
      </c:pivotFmt>
      <c:pivotFmt>
        <c:idx val="318"/>
        <c:marker>
          <c:symbol val="none"/>
        </c:marker>
      </c:pivotFmt>
      <c:pivotFmt>
        <c:idx val="319"/>
        <c:marker>
          <c:symbol val="none"/>
        </c:marker>
      </c:pivotFmt>
      <c:pivotFmt>
        <c:idx val="320"/>
        <c:marker>
          <c:symbol val="none"/>
        </c:marker>
      </c:pivotFmt>
      <c:pivotFmt>
        <c:idx val="321"/>
        <c:marker>
          <c:symbol val="none"/>
        </c:marker>
      </c:pivotFmt>
      <c:pivotFmt>
        <c:idx val="322"/>
        <c:marker>
          <c:symbol val="none"/>
        </c:marker>
      </c:pivotFmt>
      <c:pivotFmt>
        <c:idx val="323"/>
        <c:marker>
          <c:symbol val="none"/>
        </c:marker>
      </c:pivotFmt>
      <c:pivotFmt>
        <c:idx val="324"/>
        <c:marker>
          <c:symbol val="none"/>
        </c:marker>
      </c:pivotFmt>
      <c:pivotFmt>
        <c:idx val="325"/>
        <c:marker>
          <c:symbol val="none"/>
        </c:marker>
      </c:pivotFmt>
      <c:pivotFmt>
        <c:idx val="326"/>
        <c:marker>
          <c:symbol val="none"/>
        </c:marker>
      </c:pivotFmt>
      <c:pivotFmt>
        <c:idx val="327"/>
        <c:marker>
          <c:symbol val="none"/>
        </c:marker>
      </c:pivotFmt>
      <c:pivotFmt>
        <c:idx val="328"/>
        <c:marker>
          <c:symbol val="none"/>
        </c:marker>
      </c:pivotFmt>
      <c:pivotFmt>
        <c:idx val="329"/>
        <c:marker>
          <c:symbol val="none"/>
        </c:marker>
      </c:pivotFmt>
      <c:pivotFmt>
        <c:idx val="330"/>
        <c:marker>
          <c:symbol val="none"/>
        </c:marker>
      </c:pivotFmt>
      <c:pivotFmt>
        <c:idx val="331"/>
        <c:marker>
          <c:symbol val="none"/>
        </c:marker>
      </c:pivotFmt>
      <c:pivotFmt>
        <c:idx val="332"/>
        <c:marker>
          <c:symbol val="none"/>
        </c:marker>
      </c:pivotFmt>
      <c:pivotFmt>
        <c:idx val="333"/>
        <c:marker>
          <c:symbol val="none"/>
        </c:marker>
      </c:pivotFmt>
      <c:pivotFmt>
        <c:idx val="334"/>
        <c:marker>
          <c:symbol val="none"/>
        </c:marker>
      </c:pivotFmt>
      <c:pivotFmt>
        <c:idx val="335"/>
        <c:marker>
          <c:symbol val="none"/>
        </c:marker>
      </c:pivotFmt>
      <c:pivotFmt>
        <c:idx val="336"/>
        <c:marker>
          <c:symbol val="none"/>
        </c:marker>
      </c:pivotFmt>
      <c:pivotFmt>
        <c:idx val="337"/>
        <c:marker>
          <c:symbol val="none"/>
        </c:marker>
      </c:pivotFmt>
      <c:pivotFmt>
        <c:idx val="338"/>
        <c:marker>
          <c:symbol val="none"/>
        </c:marker>
      </c:pivotFmt>
      <c:pivotFmt>
        <c:idx val="339"/>
        <c:marker>
          <c:symbol val="none"/>
        </c:marker>
      </c:pivotFmt>
      <c:pivotFmt>
        <c:idx val="340"/>
        <c:marker>
          <c:symbol val="none"/>
        </c:marker>
      </c:pivotFmt>
      <c:pivotFmt>
        <c:idx val="341"/>
        <c:marker>
          <c:symbol val="none"/>
        </c:marker>
      </c:pivotFmt>
      <c:pivotFmt>
        <c:idx val="342"/>
        <c:marker>
          <c:symbol val="none"/>
        </c:marker>
      </c:pivotFmt>
      <c:pivotFmt>
        <c:idx val="343"/>
        <c:marker>
          <c:symbol val="none"/>
        </c:marker>
      </c:pivotFmt>
      <c:pivotFmt>
        <c:idx val="344"/>
        <c:marker>
          <c:symbol val="none"/>
        </c:marker>
      </c:pivotFmt>
      <c:pivotFmt>
        <c:idx val="345"/>
        <c:marker>
          <c:symbol val="none"/>
        </c:marker>
      </c:pivotFmt>
      <c:pivotFmt>
        <c:idx val="346"/>
        <c:marker>
          <c:symbol val="none"/>
        </c:marker>
      </c:pivotFmt>
      <c:pivotFmt>
        <c:idx val="347"/>
        <c:marker>
          <c:symbol val="none"/>
        </c:marker>
      </c:pivotFmt>
      <c:pivotFmt>
        <c:idx val="348"/>
        <c:marker>
          <c:symbol val="none"/>
        </c:marker>
      </c:pivotFmt>
      <c:pivotFmt>
        <c:idx val="349"/>
        <c:marker>
          <c:symbol val="none"/>
        </c:marker>
      </c:pivotFmt>
      <c:pivotFmt>
        <c:idx val="350"/>
        <c:marker>
          <c:symbol val="none"/>
        </c:marker>
      </c:pivotFmt>
      <c:pivotFmt>
        <c:idx val="351"/>
        <c:marker>
          <c:symbol val="none"/>
        </c:marker>
      </c:pivotFmt>
      <c:pivotFmt>
        <c:idx val="352"/>
        <c:marker>
          <c:symbol val="none"/>
        </c:marker>
      </c:pivotFmt>
      <c:pivotFmt>
        <c:idx val="353"/>
        <c:marker>
          <c:symbol val="none"/>
        </c:marker>
      </c:pivotFmt>
      <c:pivotFmt>
        <c:idx val="354"/>
        <c:marker>
          <c:symbol val="none"/>
        </c:marker>
      </c:pivotFmt>
      <c:pivotFmt>
        <c:idx val="355"/>
        <c:marker>
          <c:symbol val="none"/>
        </c:marker>
      </c:pivotFmt>
      <c:pivotFmt>
        <c:idx val="356"/>
        <c:marker>
          <c:symbol val="none"/>
        </c:marker>
      </c:pivotFmt>
      <c:pivotFmt>
        <c:idx val="357"/>
        <c:marker>
          <c:symbol val="none"/>
        </c:marker>
      </c:pivotFmt>
      <c:pivotFmt>
        <c:idx val="358"/>
        <c:marker>
          <c:symbol val="none"/>
        </c:marker>
      </c:pivotFmt>
      <c:pivotFmt>
        <c:idx val="359"/>
        <c:marker>
          <c:symbol val="none"/>
        </c:marker>
      </c:pivotFmt>
      <c:pivotFmt>
        <c:idx val="360"/>
        <c:marker>
          <c:symbol val="none"/>
        </c:marker>
      </c:pivotFmt>
      <c:pivotFmt>
        <c:idx val="361"/>
        <c:marker>
          <c:symbol val="none"/>
        </c:marker>
      </c:pivotFmt>
      <c:pivotFmt>
        <c:idx val="362"/>
        <c:marker>
          <c:symbol val="none"/>
        </c:marker>
      </c:pivotFmt>
      <c:pivotFmt>
        <c:idx val="363"/>
        <c:marker>
          <c:symbol val="none"/>
        </c:marker>
      </c:pivotFmt>
      <c:pivotFmt>
        <c:idx val="364"/>
        <c:marker>
          <c:symbol val="none"/>
        </c:marker>
      </c:pivotFmt>
      <c:pivotFmt>
        <c:idx val="365"/>
        <c:marker>
          <c:symbol val="none"/>
        </c:marker>
      </c:pivotFmt>
      <c:pivotFmt>
        <c:idx val="366"/>
        <c:marker>
          <c:symbol val="none"/>
        </c:marker>
      </c:pivotFmt>
      <c:pivotFmt>
        <c:idx val="367"/>
        <c:marker>
          <c:symbol val="none"/>
        </c:marker>
      </c:pivotFmt>
      <c:pivotFmt>
        <c:idx val="368"/>
        <c:marker>
          <c:symbol val="none"/>
        </c:marker>
      </c:pivotFmt>
      <c:pivotFmt>
        <c:idx val="369"/>
        <c:marker>
          <c:symbol val="none"/>
        </c:marker>
      </c:pivotFmt>
      <c:pivotFmt>
        <c:idx val="370"/>
        <c:marker>
          <c:symbol val="none"/>
        </c:marker>
      </c:pivotFmt>
      <c:pivotFmt>
        <c:idx val="371"/>
        <c:marker>
          <c:symbol val="none"/>
        </c:marker>
      </c:pivotFmt>
      <c:pivotFmt>
        <c:idx val="372"/>
        <c:marker>
          <c:symbol val="none"/>
        </c:marker>
      </c:pivotFmt>
      <c:pivotFmt>
        <c:idx val="373"/>
        <c:marker>
          <c:symbol val="none"/>
        </c:marker>
      </c:pivotFmt>
      <c:pivotFmt>
        <c:idx val="374"/>
        <c:marker>
          <c:symbol val="none"/>
        </c:marker>
      </c:pivotFmt>
      <c:pivotFmt>
        <c:idx val="375"/>
        <c:marker>
          <c:symbol val="none"/>
        </c:marker>
      </c:pivotFmt>
      <c:pivotFmt>
        <c:idx val="376"/>
        <c:marker>
          <c:symbol val="none"/>
        </c:marker>
      </c:pivotFmt>
      <c:pivotFmt>
        <c:idx val="377"/>
        <c:marker>
          <c:symbol val="none"/>
        </c:marker>
      </c:pivotFmt>
      <c:pivotFmt>
        <c:idx val="378"/>
        <c:marker>
          <c:symbol val="none"/>
        </c:marker>
      </c:pivotFmt>
      <c:pivotFmt>
        <c:idx val="379"/>
        <c:marker>
          <c:symbol val="none"/>
        </c:marker>
      </c:pivotFmt>
      <c:pivotFmt>
        <c:idx val="380"/>
        <c:marker>
          <c:symbol val="none"/>
        </c:marker>
      </c:pivotFmt>
      <c:pivotFmt>
        <c:idx val="381"/>
        <c:marker>
          <c:symbol val="none"/>
        </c:marker>
      </c:pivotFmt>
      <c:pivotFmt>
        <c:idx val="382"/>
        <c:marker>
          <c:symbol val="none"/>
        </c:marker>
      </c:pivotFmt>
      <c:pivotFmt>
        <c:idx val="383"/>
        <c:marker>
          <c:symbol val="none"/>
        </c:marker>
      </c:pivotFmt>
      <c:pivotFmt>
        <c:idx val="384"/>
        <c:marker>
          <c:symbol val="none"/>
        </c:marker>
      </c:pivotFmt>
      <c:pivotFmt>
        <c:idx val="385"/>
        <c:marker>
          <c:symbol val="none"/>
        </c:marker>
      </c:pivotFmt>
      <c:pivotFmt>
        <c:idx val="386"/>
        <c:marker>
          <c:symbol val="none"/>
        </c:marker>
      </c:pivotFmt>
      <c:pivotFmt>
        <c:idx val="387"/>
        <c:marker>
          <c:symbol val="none"/>
        </c:marker>
      </c:pivotFmt>
      <c:pivotFmt>
        <c:idx val="388"/>
        <c:marker>
          <c:symbol val="none"/>
        </c:marker>
      </c:pivotFmt>
      <c:pivotFmt>
        <c:idx val="389"/>
        <c:marker>
          <c:symbol val="none"/>
        </c:marker>
      </c:pivotFmt>
      <c:pivotFmt>
        <c:idx val="390"/>
        <c:marker>
          <c:symbol val="none"/>
        </c:marker>
      </c:pivotFmt>
      <c:pivotFmt>
        <c:idx val="391"/>
        <c:marker>
          <c:symbol val="none"/>
        </c:marker>
      </c:pivotFmt>
      <c:pivotFmt>
        <c:idx val="392"/>
        <c:marker>
          <c:symbol val="none"/>
        </c:marker>
      </c:pivotFmt>
      <c:pivotFmt>
        <c:idx val="393"/>
        <c:marker>
          <c:symbol val="none"/>
        </c:marker>
      </c:pivotFmt>
      <c:pivotFmt>
        <c:idx val="394"/>
        <c:marker>
          <c:symbol val="none"/>
        </c:marker>
      </c:pivotFmt>
      <c:pivotFmt>
        <c:idx val="395"/>
        <c:marker>
          <c:symbol val="none"/>
        </c:marker>
      </c:pivotFmt>
      <c:pivotFmt>
        <c:idx val="396"/>
        <c:marker>
          <c:symbol val="none"/>
        </c:marker>
      </c:pivotFmt>
      <c:pivotFmt>
        <c:idx val="397"/>
        <c:marker>
          <c:symbol val="none"/>
        </c:marker>
      </c:pivotFmt>
      <c:pivotFmt>
        <c:idx val="398"/>
        <c:marker>
          <c:symbol val="none"/>
        </c:marker>
      </c:pivotFmt>
      <c:pivotFmt>
        <c:idx val="399"/>
        <c:marker>
          <c:symbol val="none"/>
        </c:marker>
      </c:pivotFmt>
      <c:pivotFmt>
        <c:idx val="400"/>
        <c:marker>
          <c:symbol val="none"/>
        </c:marker>
      </c:pivotFmt>
      <c:pivotFmt>
        <c:idx val="401"/>
        <c:marker>
          <c:symbol val="none"/>
        </c:marker>
      </c:pivotFmt>
      <c:pivotFmt>
        <c:idx val="402"/>
        <c:marker>
          <c:symbol val="none"/>
        </c:marker>
      </c:pivotFmt>
      <c:pivotFmt>
        <c:idx val="403"/>
        <c:marker>
          <c:symbol val="none"/>
        </c:marker>
      </c:pivotFmt>
      <c:pivotFmt>
        <c:idx val="404"/>
        <c:marker>
          <c:symbol val="none"/>
        </c:marker>
      </c:pivotFmt>
      <c:pivotFmt>
        <c:idx val="405"/>
        <c:marker>
          <c:symbol val="none"/>
        </c:marker>
      </c:pivotFmt>
      <c:pivotFmt>
        <c:idx val="406"/>
        <c:marker>
          <c:symbol val="none"/>
        </c:marker>
      </c:pivotFmt>
      <c:pivotFmt>
        <c:idx val="407"/>
        <c:marker>
          <c:symbol val="none"/>
        </c:marker>
      </c:pivotFmt>
      <c:pivotFmt>
        <c:idx val="408"/>
        <c:marker>
          <c:symbol val="none"/>
        </c:marker>
      </c:pivotFmt>
      <c:pivotFmt>
        <c:idx val="409"/>
        <c:marker>
          <c:symbol val="none"/>
        </c:marker>
      </c:pivotFmt>
      <c:pivotFmt>
        <c:idx val="410"/>
        <c:marker>
          <c:symbol val="none"/>
        </c:marker>
      </c:pivotFmt>
      <c:pivotFmt>
        <c:idx val="411"/>
        <c:marker>
          <c:symbol val="none"/>
        </c:marker>
      </c:pivotFmt>
      <c:pivotFmt>
        <c:idx val="412"/>
        <c:marker>
          <c:symbol val="none"/>
        </c:marker>
      </c:pivotFmt>
      <c:pivotFmt>
        <c:idx val="413"/>
        <c:marker>
          <c:symbol val="none"/>
        </c:marker>
      </c:pivotFmt>
      <c:pivotFmt>
        <c:idx val="414"/>
        <c:marker>
          <c:symbol val="none"/>
        </c:marker>
      </c:pivotFmt>
      <c:pivotFmt>
        <c:idx val="415"/>
        <c:marker>
          <c:symbol val="none"/>
        </c:marker>
      </c:pivotFmt>
      <c:pivotFmt>
        <c:idx val="416"/>
        <c:marker>
          <c:symbol val="none"/>
        </c:marker>
      </c:pivotFmt>
      <c:pivotFmt>
        <c:idx val="417"/>
        <c:marker>
          <c:symbol val="none"/>
        </c:marker>
      </c:pivotFmt>
      <c:pivotFmt>
        <c:idx val="418"/>
        <c:marker>
          <c:symbol val="none"/>
        </c:marker>
      </c:pivotFmt>
      <c:pivotFmt>
        <c:idx val="419"/>
        <c:marker>
          <c:symbol val="none"/>
        </c:marker>
      </c:pivotFmt>
      <c:pivotFmt>
        <c:idx val="420"/>
        <c:marker>
          <c:symbol val="none"/>
        </c:marker>
      </c:pivotFmt>
      <c:pivotFmt>
        <c:idx val="421"/>
        <c:marker>
          <c:symbol val="none"/>
        </c:marker>
      </c:pivotFmt>
      <c:pivotFmt>
        <c:idx val="422"/>
        <c:marker>
          <c:symbol val="none"/>
        </c:marker>
      </c:pivotFmt>
      <c:pivotFmt>
        <c:idx val="423"/>
        <c:marker>
          <c:symbol val="none"/>
        </c:marker>
      </c:pivotFmt>
      <c:pivotFmt>
        <c:idx val="424"/>
        <c:marker>
          <c:symbol val="none"/>
        </c:marker>
      </c:pivotFmt>
      <c:pivotFmt>
        <c:idx val="425"/>
        <c:marker>
          <c:symbol val="none"/>
        </c:marker>
      </c:pivotFmt>
      <c:pivotFmt>
        <c:idx val="426"/>
        <c:marker>
          <c:symbol val="none"/>
        </c:marker>
      </c:pivotFmt>
      <c:pivotFmt>
        <c:idx val="427"/>
        <c:marker>
          <c:symbol val="none"/>
        </c:marker>
      </c:pivotFmt>
      <c:pivotFmt>
        <c:idx val="428"/>
        <c:marker>
          <c:symbol val="none"/>
        </c:marker>
      </c:pivotFmt>
      <c:pivotFmt>
        <c:idx val="429"/>
        <c:marker>
          <c:symbol val="none"/>
        </c:marker>
      </c:pivotFmt>
      <c:pivotFmt>
        <c:idx val="430"/>
        <c:marker>
          <c:symbol val="none"/>
        </c:marker>
      </c:pivotFmt>
      <c:pivotFmt>
        <c:idx val="431"/>
        <c:marker>
          <c:symbol val="none"/>
        </c:marker>
        <c:dLbl>
          <c:idx val="0"/>
          <c:numFmt formatCode="#,##0.00" sourceLinked="0"/>
          <c:spPr/>
          <c:txPr>
            <a:bodyPr/>
            <a:lstStyle/>
            <a:p>
              <a:pPr>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32"/>
        <c:marker>
          <c:symbol val="none"/>
        </c:marker>
        <c:dLbl>
          <c:idx val="0"/>
          <c:numFmt formatCode="#,##0.00" sourceLinked="0"/>
          <c:spPr/>
          <c:txPr>
            <a:bodyPr/>
            <a:lstStyle/>
            <a:p>
              <a:pPr>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33"/>
        <c:marker>
          <c:symbol val="none"/>
        </c:marker>
        <c:dLbl>
          <c:idx val="0"/>
          <c:numFmt formatCode="#,##0.00" sourceLinked="0"/>
          <c:spPr/>
          <c:txPr>
            <a:bodyPr/>
            <a:lstStyle/>
            <a:p>
              <a:pPr>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34"/>
        <c:marker>
          <c:symbol val="none"/>
        </c:marker>
      </c:pivotFmt>
      <c:pivotFmt>
        <c:idx val="435"/>
        <c:marker>
          <c:symbol val="none"/>
        </c:marker>
      </c:pivotFmt>
      <c:pivotFmt>
        <c:idx val="436"/>
        <c:marker>
          <c:symbol val="none"/>
        </c:marker>
      </c:pivotFmt>
      <c:pivotFmt>
        <c:idx val="437"/>
        <c:marker>
          <c:symbol val="none"/>
        </c:marker>
      </c:pivotFmt>
      <c:pivotFmt>
        <c:idx val="438"/>
        <c:marker>
          <c:symbol val="none"/>
        </c:marker>
      </c:pivotFmt>
      <c:pivotFmt>
        <c:idx val="439"/>
        <c:marker>
          <c:symbol val="none"/>
        </c:marker>
      </c:pivotFmt>
      <c:pivotFmt>
        <c:idx val="440"/>
        <c:marker>
          <c:symbol val="none"/>
        </c:marker>
      </c:pivotFmt>
      <c:pivotFmt>
        <c:idx val="441"/>
        <c:marker>
          <c:symbol val="none"/>
        </c:marker>
      </c:pivotFmt>
      <c:pivotFmt>
        <c:idx val="442"/>
        <c:marker>
          <c:symbol val="none"/>
        </c:marker>
      </c:pivotFmt>
      <c:pivotFmt>
        <c:idx val="443"/>
        <c:marker>
          <c:symbol val="none"/>
        </c:marker>
      </c:pivotFmt>
      <c:pivotFmt>
        <c:idx val="444"/>
        <c:marker>
          <c:symbol val="none"/>
        </c:marker>
      </c:pivotFmt>
      <c:pivotFmt>
        <c:idx val="445"/>
        <c:marker>
          <c:symbol val="none"/>
        </c:marker>
      </c:pivotFmt>
      <c:pivotFmt>
        <c:idx val="446"/>
        <c:marker>
          <c:symbol val="none"/>
        </c:marker>
      </c:pivotFmt>
      <c:pivotFmt>
        <c:idx val="447"/>
        <c:marker>
          <c:symbol val="none"/>
        </c:marker>
      </c:pivotFmt>
      <c:pivotFmt>
        <c:idx val="448"/>
        <c:marker>
          <c:symbol val="none"/>
        </c:marker>
      </c:pivotFmt>
      <c:pivotFmt>
        <c:idx val="449"/>
        <c:marker>
          <c:symbol val="none"/>
        </c:marker>
      </c:pivotFmt>
      <c:pivotFmt>
        <c:idx val="450"/>
        <c:marker>
          <c:symbol val="none"/>
        </c:marker>
      </c:pivotFmt>
      <c:pivotFmt>
        <c:idx val="451"/>
        <c:marker>
          <c:symbol val="none"/>
        </c:marker>
      </c:pivotFmt>
      <c:pivotFmt>
        <c:idx val="452"/>
        <c:marker>
          <c:symbol val="none"/>
        </c:marker>
      </c:pivotFmt>
      <c:pivotFmt>
        <c:idx val="453"/>
        <c:marker>
          <c:symbol val="none"/>
        </c:marker>
      </c:pivotFmt>
      <c:pivotFmt>
        <c:idx val="454"/>
        <c:marker>
          <c:symbol val="none"/>
        </c:marker>
      </c:pivotFmt>
      <c:pivotFmt>
        <c:idx val="455"/>
        <c:marker>
          <c:symbol val="none"/>
        </c:marker>
      </c:pivotFmt>
      <c:pivotFmt>
        <c:idx val="456"/>
        <c:marker>
          <c:symbol val="none"/>
        </c:marker>
      </c:pivotFmt>
      <c:pivotFmt>
        <c:idx val="457"/>
        <c:marker>
          <c:symbol val="none"/>
        </c:marker>
      </c:pivotFmt>
      <c:pivotFmt>
        <c:idx val="458"/>
        <c:marker>
          <c:symbol val="none"/>
        </c:marker>
      </c:pivotFmt>
      <c:pivotFmt>
        <c:idx val="459"/>
        <c:marker>
          <c:symbol val="none"/>
        </c:marker>
      </c:pivotFmt>
      <c:pivotFmt>
        <c:idx val="460"/>
        <c:marker>
          <c:symbol val="none"/>
        </c:marker>
      </c:pivotFmt>
      <c:pivotFmt>
        <c:idx val="461"/>
        <c:marker>
          <c:symbol val="none"/>
        </c:marker>
      </c:pivotFmt>
      <c:pivotFmt>
        <c:idx val="462"/>
        <c:marker>
          <c:symbol val="none"/>
        </c:marker>
      </c:pivotFmt>
      <c:pivotFmt>
        <c:idx val="463"/>
        <c:marker>
          <c:symbol val="none"/>
        </c:marker>
      </c:pivotFmt>
      <c:pivotFmt>
        <c:idx val="464"/>
        <c:marker>
          <c:symbol val="none"/>
        </c:marker>
      </c:pivotFmt>
      <c:pivotFmt>
        <c:idx val="465"/>
        <c:marker>
          <c:symbol val="none"/>
        </c:marker>
      </c:pivotFmt>
      <c:pivotFmt>
        <c:idx val="466"/>
        <c:marker>
          <c:symbol val="none"/>
        </c:marker>
      </c:pivotFmt>
      <c:pivotFmt>
        <c:idx val="467"/>
        <c:marker>
          <c:symbol val="none"/>
        </c:marker>
      </c:pivotFmt>
      <c:pivotFmt>
        <c:idx val="468"/>
        <c:marker>
          <c:symbol val="none"/>
        </c:marker>
      </c:pivotFmt>
      <c:pivotFmt>
        <c:idx val="469"/>
        <c:marker>
          <c:symbol val="none"/>
        </c:marker>
      </c:pivotFmt>
      <c:pivotFmt>
        <c:idx val="470"/>
        <c:marker>
          <c:symbol val="none"/>
        </c:marker>
      </c:pivotFmt>
      <c:pivotFmt>
        <c:idx val="471"/>
        <c:marker>
          <c:symbol val="none"/>
        </c:marker>
      </c:pivotFmt>
      <c:pivotFmt>
        <c:idx val="472"/>
        <c:marker>
          <c:symbol val="none"/>
        </c:marker>
      </c:pivotFmt>
      <c:pivotFmt>
        <c:idx val="473"/>
        <c:marker>
          <c:symbol val="none"/>
        </c:marker>
      </c:pivotFmt>
      <c:pivotFmt>
        <c:idx val="474"/>
        <c:marker>
          <c:symbol val="none"/>
        </c:marker>
      </c:pivotFmt>
      <c:pivotFmt>
        <c:idx val="475"/>
        <c:marker>
          <c:symbol val="none"/>
        </c:marker>
      </c:pivotFmt>
      <c:pivotFmt>
        <c:idx val="476"/>
        <c:marker>
          <c:symbol val="none"/>
        </c:marker>
      </c:pivotFmt>
      <c:pivotFmt>
        <c:idx val="477"/>
        <c:marker>
          <c:symbol val="none"/>
        </c:marker>
      </c:pivotFmt>
      <c:pivotFmt>
        <c:idx val="478"/>
        <c:marker>
          <c:symbol val="none"/>
        </c:marker>
      </c:pivotFmt>
      <c:pivotFmt>
        <c:idx val="479"/>
        <c:marker>
          <c:symbol val="none"/>
        </c:marker>
      </c:pivotFmt>
      <c:pivotFmt>
        <c:idx val="480"/>
        <c:marker>
          <c:symbol val="none"/>
        </c:marker>
      </c:pivotFmt>
      <c:pivotFmt>
        <c:idx val="481"/>
        <c:marker>
          <c:symbol val="none"/>
        </c:marker>
      </c:pivotFmt>
      <c:pivotFmt>
        <c:idx val="482"/>
        <c:marker>
          <c:symbol val="none"/>
        </c:marker>
      </c:pivotFmt>
      <c:pivotFmt>
        <c:idx val="483"/>
        <c:marker>
          <c:symbol val="none"/>
        </c:marker>
      </c:pivotFmt>
      <c:pivotFmt>
        <c:idx val="484"/>
        <c:marker>
          <c:symbol val="none"/>
        </c:marker>
      </c:pivotFmt>
      <c:pivotFmt>
        <c:idx val="485"/>
        <c:marker>
          <c:symbol val="none"/>
        </c:marker>
      </c:pivotFmt>
      <c:pivotFmt>
        <c:idx val="486"/>
        <c:marker>
          <c:symbol val="none"/>
        </c:marker>
      </c:pivotFmt>
      <c:pivotFmt>
        <c:idx val="487"/>
        <c:marker>
          <c:symbol val="none"/>
        </c:marker>
      </c:pivotFmt>
      <c:pivotFmt>
        <c:idx val="488"/>
        <c:marker>
          <c:symbol val="none"/>
        </c:marker>
      </c:pivotFmt>
      <c:pivotFmt>
        <c:idx val="489"/>
        <c:marker>
          <c:symbol val="none"/>
        </c:marker>
      </c:pivotFmt>
      <c:pivotFmt>
        <c:idx val="490"/>
        <c:marker>
          <c:symbol val="none"/>
        </c:marker>
      </c:pivotFmt>
      <c:pivotFmt>
        <c:idx val="491"/>
        <c:marker>
          <c:symbol val="none"/>
        </c:marker>
      </c:pivotFmt>
      <c:pivotFmt>
        <c:idx val="492"/>
        <c:marker>
          <c:symbol val="none"/>
        </c:marker>
      </c:pivotFmt>
      <c:pivotFmt>
        <c:idx val="493"/>
        <c:marker>
          <c:symbol val="none"/>
        </c:marker>
      </c:pivotFmt>
      <c:pivotFmt>
        <c:idx val="494"/>
        <c:marker>
          <c:symbol val="none"/>
        </c:marker>
      </c:pivotFmt>
      <c:pivotFmt>
        <c:idx val="495"/>
        <c:marker>
          <c:symbol val="none"/>
        </c:marker>
      </c:pivotFmt>
      <c:pivotFmt>
        <c:idx val="496"/>
        <c:marker>
          <c:symbol val="none"/>
        </c:marker>
      </c:pivotFmt>
      <c:pivotFmt>
        <c:idx val="497"/>
        <c:marker>
          <c:symbol val="none"/>
        </c:marker>
      </c:pivotFmt>
      <c:pivotFmt>
        <c:idx val="498"/>
        <c:marker>
          <c:symbol val="none"/>
        </c:marker>
      </c:pivotFmt>
      <c:pivotFmt>
        <c:idx val="499"/>
        <c:marker>
          <c:symbol val="none"/>
        </c:marker>
      </c:pivotFmt>
      <c:pivotFmt>
        <c:idx val="500"/>
        <c:marker>
          <c:symbol val="none"/>
        </c:marker>
      </c:pivotFmt>
      <c:pivotFmt>
        <c:idx val="501"/>
        <c:marker>
          <c:symbol val="none"/>
        </c:marker>
      </c:pivotFmt>
      <c:pivotFmt>
        <c:idx val="502"/>
        <c:marker>
          <c:symbol val="none"/>
        </c:marker>
      </c:pivotFmt>
      <c:pivotFmt>
        <c:idx val="503"/>
        <c:marker>
          <c:symbol val="none"/>
        </c:marker>
      </c:pivotFmt>
      <c:pivotFmt>
        <c:idx val="504"/>
        <c:marker>
          <c:symbol val="none"/>
        </c:marker>
      </c:pivotFmt>
      <c:pivotFmt>
        <c:idx val="505"/>
        <c:marker>
          <c:symbol val="none"/>
        </c:marker>
      </c:pivotFmt>
      <c:pivotFmt>
        <c:idx val="506"/>
        <c:marker>
          <c:symbol val="none"/>
        </c:marker>
      </c:pivotFmt>
      <c:pivotFmt>
        <c:idx val="507"/>
        <c:marker>
          <c:symbol val="none"/>
        </c:marker>
      </c:pivotFmt>
      <c:pivotFmt>
        <c:idx val="508"/>
        <c:marker>
          <c:symbol val="none"/>
        </c:marker>
      </c:pivotFmt>
      <c:pivotFmt>
        <c:idx val="509"/>
        <c:marker>
          <c:symbol val="none"/>
        </c:marker>
      </c:pivotFmt>
      <c:pivotFmt>
        <c:idx val="510"/>
        <c:marker>
          <c:symbol val="none"/>
        </c:marker>
      </c:pivotFmt>
      <c:pivotFmt>
        <c:idx val="511"/>
        <c:marker>
          <c:symbol val="none"/>
        </c:marker>
      </c:pivotFmt>
      <c:pivotFmt>
        <c:idx val="512"/>
        <c:marker>
          <c:symbol val="none"/>
        </c:marker>
      </c:pivotFmt>
      <c:pivotFmt>
        <c:idx val="513"/>
        <c:marker>
          <c:symbol val="none"/>
        </c:marker>
      </c:pivotFmt>
      <c:pivotFmt>
        <c:idx val="514"/>
        <c:marker>
          <c:symbol val="none"/>
        </c:marker>
      </c:pivotFmt>
      <c:pivotFmt>
        <c:idx val="515"/>
        <c:marker>
          <c:symbol val="none"/>
        </c:marker>
      </c:pivotFmt>
      <c:pivotFmt>
        <c:idx val="516"/>
        <c:marker>
          <c:symbol val="none"/>
        </c:marker>
      </c:pivotFmt>
      <c:pivotFmt>
        <c:idx val="517"/>
        <c:marker>
          <c:symbol val="none"/>
        </c:marker>
      </c:pivotFmt>
      <c:pivotFmt>
        <c:idx val="518"/>
        <c:marker>
          <c:symbol val="none"/>
        </c:marker>
      </c:pivotFmt>
      <c:pivotFmt>
        <c:idx val="519"/>
        <c:marker>
          <c:symbol val="none"/>
        </c:marker>
      </c:pivotFmt>
      <c:pivotFmt>
        <c:idx val="520"/>
        <c:marker>
          <c:symbol val="none"/>
        </c:marker>
      </c:pivotFmt>
      <c:pivotFmt>
        <c:idx val="521"/>
        <c:marker>
          <c:symbol val="none"/>
        </c:marker>
      </c:pivotFmt>
      <c:pivotFmt>
        <c:idx val="522"/>
        <c:marker>
          <c:symbol val="none"/>
        </c:marker>
      </c:pivotFmt>
      <c:pivotFmt>
        <c:idx val="523"/>
        <c:marker>
          <c:symbol val="none"/>
        </c:marker>
      </c:pivotFmt>
      <c:pivotFmt>
        <c:idx val="524"/>
        <c:marker>
          <c:symbol val="none"/>
        </c:marker>
      </c:pivotFmt>
      <c:pivotFmt>
        <c:idx val="525"/>
        <c:marker>
          <c:symbol val="none"/>
        </c:marker>
      </c:pivotFmt>
      <c:pivotFmt>
        <c:idx val="526"/>
        <c:marker>
          <c:symbol val="none"/>
        </c:marker>
      </c:pivotFmt>
      <c:pivotFmt>
        <c:idx val="527"/>
        <c:marker>
          <c:symbol val="none"/>
        </c:marker>
      </c:pivotFmt>
      <c:pivotFmt>
        <c:idx val="528"/>
        <c:marker>
          <c:symbol val="none"/>
        </c:marker>
      </c:pivotFmt>
      <c:pivotFmt>
        <c:idx val="529"/>
        <c:marker>
          <c:symbol val="none"/>
        </c:marker>
      </c:pivotFmt>
      <c:pivotFmt>
        <c:idx val="530"/>
        <c:marker>
          <c:symbol val="none"/>
        </c:marker>
      </c:pivotFmt>
      <c:pivotFmt>
        <c:idx val="531"/>
        <c:marker>
          <c:symbol val="none"/>
        </c:marker>
      </c:pivotFmt>
      <c:pivotFmt>
        <c:idx val="532"/>
        <c:marker>
          <c:symbol val="none"/>
        </c:marker>
      </c:pivotFmt>
      <c:pivotFmt>
        <c:idx val="533"/>
        <c:marker>
          <c:symbol val="none"/>
        </c:marker>
      </c:pivotFmt>
      <c:pivotFmt>
        <c:idx val="534"/>
        <c:marker>
          <c:symbol val="none"/>
        </c:marker>
      </c:pivotFmt>
      <c:pivotFmt>
        <c:idx val="535"/>
        <c:marker>
          <c:symbol val="none"/>
        </c:marker>
      </c:pivotFmt>
      <c:pivotFmt>
        <c:idx val="536"/>
        <c:marker>
          <c:symbol val="none"/>
        </c:marker>
      </c:pivotFmt>
      <c:pivotFmt>
        <c:idx val="537"/>
        <c:marker>
          <c:symbol val="none"/>
        </c:marker>
      </c:pivotFmt>
      <c:pivotFmt>
        <c:idx val="538"/>
        <c:marker>
          <c:symbol val="none"/>
        </c:marker>
      </c:pivotFmt>
      <c:pivotFmt>
        <c:idx val="539"/>
        <c:marker>
          <c:symbol val="none"/>
        </c:marker>
      </c:pivotFmt>
      <c:pivotFmt>
        <c:idx val="540"/>
        <c:marker>
          <c:symbol val="none"/>
        </c:marker>
      </c:pivotFmt>
      <c:pivotFmt>
        <c:idx val="541"/>
        <c:marker>
          <c:symbol val="none"/>
        </c:marker>
      </c:pivotFmt>
      <c:pivotFmt>
        <c:idx val="542"/>
        <c:marker>
          <c:symbol val="none"/>
        </c:marker>
      </c:pivotFmt>
      <c:pivotFmt>
        <c:idx val="543"/>
        <c:marker>
          <c:symbol val="none"/>
        </c:marker>
      </c:pivotFmt>
      <c:pivotFmt>
        <c:idx val="544"/>
        <c:marker>
          <c:symbol val="none"/>
        </c:marker>
      </c:pivotFmt>
      <c:pivotFmt>
        <c:idx val="545"/>
        <c:marker>
          <c:symbol val="none"/>
        </c:marker>
      </c:pivotFmt>
      <c:pivotFmt>
        <c:idx val="546"/>
        <c:marker>
          <c:symbol val="none"/>
        </c:marker>
      </c:pivotFmt>
      <c:pivotFmt>
        <c:idx val="547"/>
        <c:marker>
          <c:symbol val="none"/>
        </c:marker>
      </c:pivotFmt>
      <c:pivotFmt>
        <c:idx val="548"/>
        <c:marker>
          <c:symbol val="none"/>
        </c:marker>
      </c:pivotFmt>
      <c:pivotFmt>
        <c:idx val="549"/>
        <c:marker>
          <c:symbol val="none"/>
        </c:marker>
      </c:pivotFmt>
      <c:pivotFmt>
        <c:idx val="550"/>
        <c:marker>
          <c:symbol val="none"/>
        </c:marker>
      </c:pivotFmt>
      <c:pivotFmt>
        <c:idx val="551"/>
        <c:marker>
          <c:symbol val="none"/>
        </c:marker>
      </c:pivotFmt>
      <c:pivotFmt>
        <c:idx val="552"/>
        <c:marker>
          <c:symbol val="none"/>
        </c:marker>
      </c:pivotFmt>
      <c:pivotFmt>
        <c:idx val="553"/>
        <c:marker>
          <c:symbol val="none"/>
        </c:marker>
      </c:pivotFmt>
      <c:pivotFmt>
        <c:idx val="554"/>
        <c:marker>
          <c:symbol val="none"/>
        </c:marker>
      </c:pivotFmt>
      <c:pivotFmt>
        <c:idx val="555"/>
        <c:marker>
          <c:symbol val="none"/>
        </c:marker>
      </c:pivotFmt>
      <c:pivotFmt>
        <c:idx val="556"/>
        <c:marker>
          <c:symbol val="none"/>
        </c:marker>
      </c:pivotFmt>
      <c:pivotFmt>
        <c:idx val="557"/>
        <c:marker>
          <c:symbol val="none"/>
        </c:marker>
      </c:pivotFmt>
      <c:pivotFmt>
        <c:idx val="558"/>
        <c:marker>
          <c:symbol val="none"/>
        </c:marker>
      </c:pivotFmt>
      <c:pivotFmt>
        <c:idx val="559"/>
        <c:marker>
          <c:symbol val="none"/>
        </c:marker>
      </c:pivotFmt>
      <c:pivotFmt>
        <c:idx val="560"/>
        <c:marker>
          <c:symbol val="none"/>
        </c:marker>
      </c:pivotFmt>
      <c:pivotFmt>
        <c:idx val="561"/>
        <c:marker>
          <c:symbol val="none"/>
        </c:marker>
      </c:pivotFmt>
      <c:pivotFmt>
        <c:idx val="562"/>
        <c:marker>
          <c:symbol val="none"/>
        </c:marker>
      </c:pivotFmt>
      <c:pivotFmt>
        <c:idx val="563"/>
        <c:marker>
          <c:symbol val="none"/>
        </c:marker>
      </c:pivotFmt>
      <c:pivotFmt>
        <c:idx val="564"/>
        <c:marker>
          <c:symbol val="none"/>
        </c:marker>
      </c:pivotFmt>
      <c:pivotFmt>
        <c:idx val="565"/>
        <c:marker>
          <c:symbol val="none"/>
        </c:marker>
      </c:pivotFmt>
      <c:pivotFmt>
        <c:idx val="566"/>
        <c:marker>
          <c:symbol val="none"/>
        </c:marker>
      </c:pivotFmt>
      <c:pivotFmt>
        <c:idx val="567"/>
        <c:marker>
          <c:symbol val="none"/>
        </c:marker>
      </c:pivotFmt>
      <c:pivotFmt>
        <c:idx val="568"/>
        <c:marker>
          <c:symbol val="none"/>
        </c:marker>
      </c:pivotFmt>
      <c:pivotFmt>
        <c:idx val="569"/>
        <c:marker>
          <c:symbol val="none"/>
        </c:marker>
      </c:pivotFmt>
      <c:pivotFmt>
        <c:idx val="570"/>
        <c:marker>
          <c:symbol val="none"/>
        </c:marker>
      </c:pivotFmt>
      <c:pivotFmt>
        <c:idx val="571"/>
        <c:marker>
          <c:symbol val="none"/>
        </c:marker>
      </c:pivotFmt>
      <c:pivotFmt>
        <c:idx val="572"/>
        <c:marker>
          <c:symbol val="none"/>
        </c:marker>
      </c:pivotFmt>
      <c:pivotFmt>
        <c:idx val="573"/>
        <c:marker>
          <c:symbol val="none"/>
        </c:marker>
      </c:pivotFmt>
      <c:pivotFmt>
        <c:idx val="574"/>
        <c:marker>
          <c:symbol val="none"/>
        </c:marker>
      </c:pivotFmt>
      <c:pivotFmt>
        <c:idx val="575"/>
        <c:marker>
          <c:symbol val="none"/>
        </c:marker>
      </c:pivotFmt>
      <c:pivotFmt>
        <c:idx val="576"/>
        <c:marker>
          <c:symbol val="none"/>
        </c:marker>
      </c:pivotFmt>
      <c:pivotFmt>
        <c:idx val="577"/>
        <c:marker>
          <c:symbol val="none"/>
        </c:marker>
      </c:pivotFmt>
      <c:pivotFmt>
        <c:idx val="578"/>
        <c:marker>
          <c:symbol val="none"/>
        </c:marker>
      </c:pivotFmt>
      <c:pivotFmt>
        <c:idx val="579"/>
        <c:marker>
          <c:symbol val="none"/>
        </c:marker>
      </c:pivotFmt>
      <c:pivotFmt>
        <c:idx val="580"/>
        <c:marker>
          <c:symbol val="none"/>
        </c:marker>
      </c:pivotFmt>
      <c:pivotFmt>
        <c:idx val="581"/>
        <c:marker>
          <c:symbol val="none"/>
        </c:marker>
      </c:pivotFmt>
      <c:pivotFmt>
        <c:idx val="582"/>
        <c:marker>
          <c:symbol val="none"/>
        </c:marker>
      </c:pivotFmt>
      <c:pivotFmt>
        <c:idx val="583"/>
        <c:marker>
          <c:symbol val="none"/>
        </c:marker>
      </c:pivotFmt>
      <c:pivotFmt>
        <c:idx val="584"/>
        <c:marker>
          <c:symbol val="none"/>
        </c:marker>
      </c:pivotFmt>
      <c:pivotFmt>
        <c:idx val="585"/>
        <c:marker>
          <c:symbol val="none"/>
        </c:marker>
      </c:pivotFmt>
      <c:pivotFmt>
        <c:idx val="586"/>
        <c:marker>
          <c:symbol val="none"/>
        </c:marker>
      </c:pivotFmt>
      <c:pivotFmt>
        <c:idx val="587"/>
        <c:marker>
          <c:symbol val="none"/>
        </c:marker>
      </c:pivotFmt>
      <c:pivotFmt>
        <c:idx val="588"/>
        <c:marker>
          <c:symbol val="none"/>
        </c:marker>
      </c:pivotFmt>
      <c:pivotFmt>
        <c:idx val="589"/>
        <c:marker>
          <c:symbol val="none"/>
        </c:marker>
      </c:pivotFmt>
      <c:pivotFmt>
        <c:idx val="590"/>
        <c:marker>
          <c:symbol val="none"/>
        </c:marker>
      </c:pivotFmt>
      <c:pivotFmt>
        <c:idx val="591"/>
        <c:marker>
          <c:symbol val="none"/>
        </c:marker>
      </c:pivotFmt>
      <c:pivotFmt>
        <c:idx val="592"/>
        <c:marker>
          <c:symbol val="none"/>
        </c:marker>
      </c:pivotFmt>
      <c:pivotFmt>
        <c:idx val="593"/>
        <c:marker>
          <c:symbol val="none"/>
        </c:marker>
      </c:pivotFmt>
      <c:pivotFmt>
        <c:idx val="594"/>
        <c:marker>
          <c:symbol val="none"/>
        </c:marker>
      </c:pivotFmt>
      <c:pivotFmt>
        <c:idx val="595"/>
        <c:marker>
          <c:symbol val="none"/>
        </c:marker>
      </c:pivotFmt>
      <c:pivotFmt>
        <c:idx val="596"/>
        <c:marker>
          <c:symbol val="none"/>
        </c:marker>
      </c:pivotFmt>
      <c:pivotFmt>
        <c:idx val="597"/>
        <c:marker>
          <c:symbol val="none"/>
        </c:marker>
      </c:pivotFmt>
      <c:pivotFmt>
        <c:idx val="598"/>
        <c:marker>
          <c:symbol val="none"/>
        </c:marker>
      </c:pivotFmt>
      <c:pivotFmt>
        <c:idx val="599"/>
        <c:marker>
          <c:symbol val="none"/>
        </c:marker>
      </c:pivotFmt>
      <c:pivotFmt>
        <c:idx val="600"/>
        <c:marker>
          <c:symbol val="none"/>
        </c:marker>
      </c:pivotFmt>
      <c:pivotFmt>
        <c:idx val="601"/>
        <c:marker>
          <c:symbol val="none"/>
        </c:marker>
      </c:pivotFmt>
      <c:pivotFmt>
        <c:idx val="602"/>
        <c:marker>
          <c:symbol val="none"/>
        </c:marker>
      </c:pivotFmt>
      <c:pivotFmt>
        <c:idx val="603"/>
        <c:marker>
          <c:symbol val="none"/>
        </c:marker>
      </c:pivotFmt>
      <c:pivotFmt>
        <c:idx val="604"/>
        <c:marker>
          <c:symbol val="none"/>
        </c:marker>
      </c:pivotFmt>
      <c:pivotFmt>
        <c:idx val="605"/>
        <c:marker>
          <c:symbol val="none"/>
        </c:marker>
      </c:pivotFmt>
      <c:pivotFmt>
        <c:idx val="606"/>
        <c:marker>
          <c:symbol val="none"/>
        </c:marker>
      </c:pivotFmt>
      <c:pivotFmt>
        <c:idx val="607"/>
        <c:marker>
          <c:symbol val="none"/>
        </c:marker>
      </c:pivotFmt>
      <c:pivotFmt>
        <c:idx val="608"/>
        <c:marker>
          <c:symbol val="none"/>
        </c:marker>
      </c:pivotFmt>
      <c:pivotFmt>
        <c:idx val="609"/>
        <c:marker>
          <c:symbol val="none"/>
        </c:marker>
      </c:pivotFmt>
      <c:pivotFmt>
        <c:idx val="610"/>
        <c:marker>
          <c:symbol val="none"/>
        </c:marker>
      </c:pivotFmt>
      <c:pivotFmt>
        <c:idx val="611"/>
        <c:marker>
          <c:symbol val="none"/>
        </c:marker>
      </c:pivotFmt>
      <c:pivotFmt>
        <c:idx val="612"/>
        <c:marker>
          <c:symbol val="none"/>
        </c:marker>
      </c:pivotFmt>
      <c:pivotFmt>
        <c:idx val="613"/>
        <c:marker>
          <c:symbol val="none"/>
        </c:marker>
      </c:pivotFmt>
      <c:pivotFmt>
        <c:idx val="614"/>
        <c:marker>
          <c:symbol val="none"/>
        </c:marker>
      </c:pivotFmt>
      <c:pivotFmt>
        <c:idx val="615"/>
        <c:marker>
          <c:symbol val="none"/>
        </c:marker>
      </c:pivotFmt>
      <c:pivotFmt>
        <c:idx val="616"/>
        <c:marker>
          <c:symbol val="none"/>
        </c:marker>
      </c:pivotFmt>
      <c:pivotFmt>
        <c:idx val="617"/>
        <c:marker>
          <c:symbol val="none"/>
        </c:marker>
      </c:pivotFmt>
      <c:pivotFmt>
        <c:idx val="618"/>
        <c:marker>
          <c:symbol val="none"/>
        </c:marker>
      </c:pivotFmt>
      <c:pivotFmt>
        <c:idx val="619"/>
        <c:marker>
          <c:symbol val="none"/>
        </c:marker>
      </c:pivotFmt>
      <c:pivotFmt>
        <c:idx val="620"/>
        <c:marker>
          <c:symbol val="none"/>
        </c:marker>
      </c:pivotFmt>
      <c:pivotFmt>
        <c:idx val="621"/>
        <c:marker>
          <c:symbol val="none"/>
        </c:marker>
      </c:pivotFmt>
      <c:pivotFmt>
        <c:idx val="622"/>
        <c:marker>
          <c:symbol val="none"/>
        </c:marker>
      </c:pivotFmt>
      <c:pivotFmt>
        <c:idx val="623"/>
        <c:marker>
          <c:symbol val="none"/>
        </c:marker>
      </c:pivotFmt>
      <c:pivotFmt>
        <c:idx val="624"/>
        <c:marker>
          <c:symbol val="none"/>
        </c:marker>
      </c:pivotFmt>
      <c:pivotFmt>
        <c:idx val="625"/>
        <c:marker>
          <c:symbol val="none"/>
        </c:marker>
      </c:pivotFmt>
      <c:pivotFmt>
        <c:idx val="626"/>
        <c:marker>
          <c:symbol val="none"/>
        </c:marker>
      </c:pivotFmt>
      <c:pivotFmt>
        <c:idx val="627"/>
        <c:marker>
          <c:symbol val="none"/>
        </c:marker>
      </c:pivotFmt>
      <c:pivotFmt>
        <c:idx val="628"/>
        <c:marker>
          <c:symbol val="none"/>
        </c:marker>
      </c:pivotFmt>
      <c:pivotFmt>
        <c:idx val="629"/>
        <c:marker>
          <c:symbol val="none"/>
        </c:marker>
      </c:pivotFmt>
      <c:pivotFmt>
        <c:idx val="630"/>
        <c:marker>
          <c:symbol val="none"/>
        </c:marker>
      </c:pivotFmt>
      <c:pivotFmt>
        <c:idx val="631"/>
        <c:marker>
          <c:symbol val="none"/>
        </c:marker>
      </c:pivotFmt>
      <c:pivotFmt>
        <c:idx val="632"/>
        <c:marker>
          <c:symbol val="none"/>
        </c:marker>
      </c:pivotFmt>
      <c:pivotFmt>
        <c:idx val="633"/>
        <c:marker>
          <c:symbol val="none"/>
        </c:marker>
      </c:pivotFmt>
      <c:pivotFmt>
        <c:idx val="634"/>
        <c:marker>
          <c:symbol val="none"/>
        </c:marker>
      </c:pivotFmt>
      <c:pivotFmt>
        <c:idx val="635"/>
        <c:marker>
          <c:symbol val="none"/>
        </c:marker>
      </c:pivotFmt>
      <c:pivotFmt>
        <c:idx val="636"/>
        <c:marker>
          <c:symbol val="none"/>
        </c:marker>
      </c:pivotFmt>
      <c:pivotFmt>
        <c:idx val="637"/>
        <c:marker>
          <c:symbol val="none"/>
        </c:marker>
      </c:pivotFmt>
      <c:pivotFmt>
        <c:idx val="638"/>
        <c:marker>
          <c:symbol val="none"/>
        </c:marker>
      </c:pivotFmt>
      <c:pivotFmt>
        <c:idx val="639"/>
        <c:marker>
          <c:symbol val="none"/>
        </c:marker>
      </c:pivotFmt>
      <c:pivotFmt>
        <c:idx val="640"/>
        <c:marker>
          <c:symbol val="none"/>
        </c:marker>
      </c:pivotFmt>
      <c:pivotFmt>
        <c:idx val="641"/>
        <c:marker>
          <c:symbol val="none"/>
        </c:marker>
      </c:pivotFmt>
      <c:pivotFmt>
        <c:idx val="642"/>
        <c:marker>
          <c:symbol val="none"/>
        </c:marker>
      </c:pivotFmt>
      <c:pivotFmt>
        <c:idx val="643"/>
        <c:marker>
          <c:symbol val="none"/>
        </c:marker>
      </c:pivotFmt>
      <c:pivotFmt>
        <c:idx val="644"/>
        <c:marker>
          <c:symbol val="none"/>
        </c:marker>
      </c:pivotFmt>
      <c:pivotFmt>
        <c:idx val="645"/>
        <c:marker>
          <c:symbol val="none"/>
        </c:marker>
      </c:pivotFmt>
      <c:pivotFmt>
        <c:idx val="646"/>
        <c:marker>
          <c:symbol val="none"/>
        </c:marker>
      </c:pivotFmt>
      <c:pivotFmt>
        <c:idx val="647"/>
        <c:marker>
          <c:symbol val="none"/>
        </c:marker>
      </c:pivotFmt>
      <c:pivotFmt>
        <c:idx val="648"/>
        <c:marker>
          <c:symbol val="none"/>
        </c:marker>
      </c:pivotFmt>
      <c:pivotFmt>
        <c:idx val="649"/>
        <c:marker>
          <c:symbol val="none"/>
        </c:marker>
      </c:pivotFmt>
      <c:pivotFmt>
        <c:idx val="650"/>
        <c:marker>
          <c:symbol val="none"/>
        </c:marker>
      </c:pivotFmt>
      <c:pivotFmt>
        <c:idx val="651"/>
        <c:marker>
          <c:symbol val="none"/>
        </c:marker>
      </c:pivotFmt>
      <c:pivotFmt>
        <c:idx val="652"/>
        <c:marker>
          <c:symbol val="none"/>
        </c:marker>
      </c:pivotFmt>
      <c:pivotFmt>
        <c:idx val="653"/>
        <c:marker>
          <c:symbol val="none"/>
        </c:marker>
      </c:pivotFmt>
      <c:pivotFmt>
        <c:idx val="654"/>
        <c:marker>
          <c:symbol val="none"/>
        </c:marker>
      </c:pivotFmt>
      <c:pivotFmt>
        <c:idx val="655"/>
        <c:marker>
          <c:symbol val="none"/>
        </c:marker>
      </c:pivotFmt>
      <c:pivotFmt>
        <c:idx val="656"/>
        <c:marker>
          <c:symbol val="none"/>
        </c:marker>
      </c:pivotFmt>
      <c:pivotFmt>
        <c:idx val="657"/>
        <c:marker>
          <c:symbol val="none"/>
        </c:marker>
      </c:pivotFmt>
      <c:pivotFmt>
        <c:idx val="658"/>
        <c:marker>
          <c:symbol val="none"/>
        </c:marker>
      </c:pivotFmt>
      <c:pivotFmt>
        <c:idx val="659"/>
        <c:marker>
          <c:symbol val="none"/>
        </c:marker>
      </c:pivotFmt>
      <c:pivotFmt>
        <c:idx val="660"/>
        <c:marker>
          <c:symbol val="none"/>
        </c:marker>
      </c:pivotFmt>
      <c:pivotFmt>
        <c:idx val="661"/>
        <c:marker>
          <c:symbol val="none"/>
        </c:marker>
      </c:pivotFmt>
      <c:pivotFmt>
        <c:idx val="662"/>
        <c:marker>
          <c:symbol val="none"/>
        </c:marker>
      </c:pivotFmt>
      <c:pivotFmt>
        <c:idx val="663"/>
        <c:marker>
          <c:symbol val="none"/>
        </c:marker>
      </c:pivotFmt>
      <c:pivotFmt>
        <c:idx val="664"/>
        <c:marker>
          <c:symbol val="none"/>
        </c:marker>
      </c:pivotFmt>
      <c:pivotFmt>
        <c:idx val="665"/>
        <c:marker>
          <c:symbol val="none"/>
        </c:marker>
      </c:pivotFmt>
      <c:pivotFmt>
        <c:idx val="666"/>
        <c:marker>
          <c:symbol val="none"/>
        </c:marker>
      </c:pivotFmt>
      <c:pivotFmt>
        <c:idx val="667"/>
        <c:marker>
          <c:symbol val="none"/>
        </c:marker>
      </c:pivotFmt>
      <c:pivotFmt>
        <c:idx val="668"/>
        <c:marker>
          <c:symbol val="none"/>
        </c:marker>
      </c:pivotFmt>
      <c:pivotFmt>
        <c:idx val="669"/>
        <c:marker>
          <c:symbol val="none"/>
        </c:marker>
      </c:pivotFmt>
      <c:pivotFmt>
        <c:idx val="670"/>
        <c:marker>
          <c:symbol val="none"/>
        </c:marker>
      </c:pivotFmt>
      <c:pivotFmt>
        <c:idx val="671"/>
        <c:marker>
          <c:symbol val="none"/>
        </c:marker>
      </c:pivotFmt>
      <c:pivotFmt>
        <c:idx val="672"/>
        <c:marker>
          <c:symbol val="none"/>
        </c:marker>
      </c:pivotFmt>
      <c:pivotFmt>
        <c:idx val="673"/>
        <c:marker>
          <c:symbol val="none"/>
        </c:marker>
      </c:pivotFmt>
      <c:pivotFmt>
        <c:idx val="674"/>
        <c:marker>
          <c:symbol val="none"/>
        </c:marker>
      </c:pivotFmt>
      <c:pivotFmt>
        <c:idx val="675"/>
        <c:marker>
          <c:symbol val="none"/>
        </c:marker>
      </c:pivotFmt>
      <c:pivotFmt>
        <c:idx val="676"/>
        <c:marker>
          <c:symbol val="none"/>
        </c:marker>
      </c:pivotFmt>
      <c:pivotFmt>
        <c:idx val="677"/>
        <c:marker>
          <c:symbol val="none"/>
        </c:marker>
      </c:pivotFmt>
      <c:pivotFmt>
        <c:idx val="678"/>
        <c:marker>
          <c:symbol val="none"/>
        </c:marker>
      </c:pivotFmt>
      <c:pivotFmt>
        <c:idx val="679"/>
        <c:marker>
          <c:symbol val="none"/>
        </c:marker>
      </c:pivotFmt>
      <c:pivotFmt>
        <c:idx val="680"/>
        <c:marker>
          <c:symbol val="none"/>
        </c:marker>
      </c:pivotFmt>
      <c:pivotFmt>
        <c:idx val="681"/>
        <c:marker>
          <c:symbol val="none"/>
        </c:marker>
      </c:pivotFmt>
      <c:pivotFmt>
        <c:idx val="682"/>
        <c:marker>
          <c:symbol val="none"/>
        </c:marker>
      </c:pivotFmt>
      <c:pivotFmt>
        <c:idx val="683"/>
        <c:marker>
          <c:symbol val="none"/>
        </c:marker>
      </c:pivotFmt>
      <c:pivotFmt>
        <c:idx val="684"/>
        <c:marker>
          <c:symbol val="none"/>
        </c:marker>
      </c:pivotFmt>
      <c:pivotFmt>
        <c:idx val="685"/>
        <c:marker>
          <c:symbol val="none"/>
        </c:marker>
      </c:pivotFmt>
      <c:pivotFmt>
        <c:idx val="686"/>
        <c:marker>
          <c:symbol val="none"/>
        </c:marker>
      </c:pivotFmt>
      <c:pivotFmt>
        <c:idx val="687"/>
        <c:marker>
          <c:symbol val="none"/>
        </c:marker>
      </c:pivotFmt>
      <c:pivotFmt>
        <c:idx val="688"/>
        <c:marker>
          <c:symbol val="none"/>
        </c:marker>
      </c:pivotFmt>
      <c:pivotFmt>
        <c:idx val="689"/>
        <c:marker>
          <c:symbol val="none"/>
        </c:marker>
      </c:pivotFmt>
      <c:pivotFmt>
        <c:idx val="690"/>
        <c:marker>
          <c:symbol val="none"/>
        </c:marker>
      </c:pivotFmt>
      <c:pivotFmt>
        <c:idx val="691"/>
        <c:marker>
          <c:symbol val="none"/>
        </c:marker>
      </c:pivotFmt>
      <c:pivotFmt>
        <c:idx val="692"/>
        <c:marker>
          <c:symbol val="none"/>
        </c:marker>
      </c:pivotFmt>
      <c:pivotFmt>
        <c:idx val="693"/>
        <c:marker>
          <c:symbol val="none"/>
        </c:marker>
      </c:pivotFmt>
      <c:pivotFmt>
        <c:idx val="694"/>
        <c:marker>
          <c:symbol val="none"/>
        </c:marker>
      </c:pivotFmt>
      <c:pivotFmt>
        <c:idx val="695"/>
        <c:marker>
          <c:symbol val="none"/>
        </c:marker>
      </c:pivotFmt>
      <c:pivotFmt>
        <c:idx val="696"/>
        <c:marker>
          <c:symbol val="none"/>
        </c:marker>
      </c:pivotFmt>
      <c:pivotFmt>
        <c:idx val="697"/>
        <c:marker>
          <c:symbol val="none"/>
        </c:marker>
      </c:pivotFmt>
      <c:pivotFmt>
        <c:idx val="698"/>
        <c:marker>
          <c:symbol val="none"/>
        </c:marker>
      </c:pivotFmt>
      <c:pivotFmt>
        <c:idx val="699"/>
        <c:marker>
          <c:symbol val="none"/>
        </c:marker>
      </c:pivotFmt>
      <c:pivotFmt>
        <c:idx val="700"/>
        <c:marker>
          <c:symbol val="none"/>
        </c:marker>
      </c:pivotFmt>
      <c:pivotFmt>
        <c:idx val="701"/>
        <c:marker>
          <c:symbol val="none"/>
        </c:marker>
      </c:pivotFmt>
      <c:pivotFmt>
        <c:idx val="702"/>
        <c:marker>
          <c:symbol val="none"/>
        </c:marker>
      </c:pivotFmt>
      <c:pivotFmt>
        <c:idx val="703"/>
        <c:marker>
          <c:symbol val="none"/>
        </c:marker>
      </c:pivotFmt>
      <c:pivotFmt>
        <c:idx val="704"/>
        <c:marker>
          <c:symbol val="none"/>
        </c:marker>
      </c:pivotFmt>
      <c:pivotFmt>
        <c:idx val="705"/>
        <c:marker>
          <c:symbol val="none"/>
        </c:marker>
      </c:pivotFmt>
      <c:pivotFmt>
        <c:idx val="706"/>
        <c:marker>
          <c:symbol val="none"/>
        </c:marker>
      </c:pivotFmt>
      <c:pivotFmt>
        <c:idx val="707"/>
        <c:marker>
          <c:symbol val="none"/>
        </c:marker>
      </c:pivotFmt>
      <c:pivotFmt>
        <c:idx val="708"/>
        <c:marker>
          <c:symbol val="none"/>
        </c:marker>
      </c:pivotFmt>
      <c:pivotFmt>
        <c:idx val="709"/>
        <c:marker>
          <c:symbol val="none"/>
        </c:marker>
      </c:pivotFmt>
      <c:pivotFmt>
        <c:idx val="710"/>
        <c:marker>
          <c:symbol val="none"/>
        </c:marker>
      </c:pivotFmt>
      <c:pivotFmt>
        <c:idx val="711"/>
        <c:marker>
          <c:symbol val="none"/>
        </c:marker>
      </c:pivotFmt>
      <c:pivotFmt>
        <c:idx val="712"/>
        <c:marker>
          <c:symbol val="none"/>
        </c:marker>
      </c:pivotFmt>
      <c:pivotFmt>
        <c:idx val="713"/>
        <c:marker>
          <c:symbol val="none"/>
        </c:marker>
      </c:pivotFmt>
      <c:pivotFmt>
        <c:idx val="714"/>
        <c:marker>
          <c:symbol val="none"/>
        </c:marker>
      </c:pivotFmt>
      <c:pivotFmt>
        <c:idx val="715"/>
        <c:marker>
          <c:symbol val="none"/>
        </c:marker>
      </c:pivotFmt>
      <c:pivotFmt>
        <c:idx val="716"/>
        <c:marker>
          <c:symbol val="none"/>
        </c:marker>
      </c:pivotFmt>
      <c:pivotFmt>
        <c:idx val="717"/>
        <c:marker>
          <c:symbol val="none"/>
        </c:marker>
      </c:pivotFmt>
      <c:pivotFmt>
        <c:idx val="718"/>
        <c:marker>
          <c:symbol val="none"/>
        </c:marker>
      </c:pivotFmt>
      <c:pivotFmt>
        <c:idx val="719"/>
        <c:marker>
          <c:symbol val="none"/>
        </c:marker>
      </c:pivotFmt>
      <c:pivotFmt>
        <c:idx val="720"/>
        <c:marker>
          <c:symbol val="none"/>
        </c:marker>
      </c:pivotFmt>
      <c:pivotFmt>
        <c:idx val="721"/>
        <c:marker>
          <c:symbol val="none"/>
        </c:marker>
      </c:pivotFmt>
      <c:pivotFmt>
        <c:idx val="722"/>
        <c:marker>
          <c:symbol val="none"/>
        </c:marker>
      </c:pivotFmt>
      <c:pivotFmt>
        <c:idx val="723"/>
        <c:marker>
          <c:symbol val="none"/>
        </c:marker>
      </c:pivotFmt>
      <c:pivotFmt>
        <c:idx val="724"/>
        <c:marker>
          <c:symbol val="none"/>
        </c:marker>
      </c:pivotFmt>
      <c:pivotFmt>
        <c:idx val="725"/>
        <c:marker>
          <c:symbol val="none"/>
        </c:marker>
      </c:pivotFmt>
      <c:pivotFmt>
        <c:idx val="726"/>
        <c:marker>
          <c:symbol val="none"/>
        </c:marker>
      </c:pivotFmt>
      <c:pivotFmt>
        <c:idx val="727"/>
        <c:marker>
          <c:symbol val="none"/>
        </c:marker>
      </c:pivotFmt>
      <c:pivotFmt>
        <c:idx val="728"/>
        <c:marker>
          <c:symbol val="none"/>
        </c:marker>
      </c:pivotFmt>
      <c:pivotFmt>
        <c:idx val="729"/>
        <c:marker>
          <c:symbol val="none"/>
        </c:marker>
      </c:pivotFmt>
      <c:pivotFmt>
        <c:idx val="730"/>
        <c:marker>
          <c:symbol val="none"/>
        </c:marker>
      </c:pivotFmt>
      <c:pivotFmt>
        <c:idx val="731"/>
        <c:marker>
          <c:symbol val="none"/>
        </c:marker>
      </c:pivotFmt>
      <c:pivotFmt>
        <c:idx val="732"/>
        <c:marker>
          <c:symbol val="none"/>
        </c:marker>
      </c:pivotFmt>
      <c:pivotFmt>
        <c:idx val="733"/>
        <c:marker>
          <c:symbol val="none"/>
        </c:marker>
      </c:pivotFmt>
      <c:pivotFmt>
        <c:idx val="734"/>
        <c:marker>
          <c:symbol val="none"/>
        </c:marker>
      </c:pivotFmt>
      <c:pivotFmt>
        <c:idx val="735"/>
        <c:marker>
          <c:symbol val="none"/>
        </c:marker>
      </c:pivotFmt>
      <c:pivotFmt>
        <c:idx val="736"/>
        <c:marker>
          <c:symbol val="none"/>
        </c:marker>
      </c:pivotFmt>
      <c:pivotFmt>
        <c:idx val="737"/>
        <c:marker>
          <c:symbol val="none"/>
        </c:marker>
      </c:pivotFmt>
      <c:pivotFmt>
        <c:idx val="738"/>
        <c:marker>
          <c:symbol val="none"/>
        </c:marker>
      </c:pivotFmt>
      <c:pivotFmt>
        <c:idx val="739"/>
        <c:marker>
          <c:symbol val="none"/>
        </c:marker>
      </c:pivotFmt>
      <c:pivotFmt>
        <c:idx val="740"/>
        <c:marker>
          <c:symbol val="none"/>
        </c:marker>
      </c:pivotFmt>
      <c:pivotFmt>
        <c:idx val="741"/>
        <c:marker>
          <c:symbol val="none"/>
        </c:marker>
      </c:pivotFmt>
      <c:pivotFmt>
        <c:idx val="742"/>
        <c:marker>
          <c:symbol val="none"/>
        </c:marker>
      </c:pivotFmt>
      <c:pivotFmt>
        <c:idx val="743"/>
        <c:marker>
          <c:symbol val="none"/>
        </c:marker>
      </c:pivotFmt>
      <c:pivotFmt>
        <c:idx val="744"/>
        <c:marker>
          <c:symbol val="none"/>
        </c:marker>
      </c:pivotFmt>
      <c:pivotFmt>
        <c:idx val="745"/>
        <c:marker>
          <c:symbol val="none"/>
        </c:marker>
      </c:pivotFmt>
      <c:pivotFmt>
        <c:idx val="746"/>
        <c:marker>
          <c:symbol val="none"/>
        </c:marker>
      </c:pivotFmt>
      <c:pivotFmt>
        <c:idx val="747"/>
        <c:marker>
          <c:symbol val="none"/>
        </c:marker>
      </c:pivotFmt>
      <c:pivotFmt>
        <c:idx val="748"/>
        <c:marker>
          <c:symbol val="none"/>
        </c:marker>
      </c:pivotFmt>
      <c:pivotFmt>
        <c:idx val="749"/>
        <c:marker>
          <c:symbol val="none"/>
        </c:marker>
      </c:pivotFmt>
      <c:pivotFmt>
        <c:idx val="750"/>
        <c:marker>
          <c:symbol val="none"/>
        </c:marker>
      </c:pivotFmt>
      <c:pivotFmt>
        <c:idx val="751"/>
        <c:marker>
          <c:symbol val="none"/>
        </c:marker>
      </c:pivotFmt>
      <c:pivotFmt>
        <c:idx val="752"/>
        <c:marker>
          <c:symbol val="none"/>
        </c:marker>
      </c:pivotFmt>
      <c:pivotFmt>
        <c:idx val="753"/>
        <c:marker>
          <c:symbol val="none"/>
        </c:marker>
      </c:pivotFmt>
      <c:pivotFmt>
        <c:idx val="754"/>
        <c:marker>
          <c:symbol val="none"/>
        </c:marker>
      </c:pivotFmt>
      <c:pivotFmt>
        <c:idx val="755"/>
        <c:marker>
          <c:symbol val="none"/>
        </c:marker>
      </c:pivotFmt>
      <c:pivotFmt>
        <c:idx val="756"/>
        <c:marker>
          <c:symbol val="none"/>
        </c:marker>
      </c:pivotFmt>
      <c:pivotFmt>
        <c:idx val="757"/>
        <c:marker>
          <c:symbol val="none"/>
        </c:marker>
      </c:pivotFmt>
      <c:pivotFmt>
        <c:idx val="758"/>
        <c:marker>
          <c:symbol val="none"/>
        </c:marker>
      </c:pivotFmt>
      <c:pivotFmt>
        <c:idx val="759"/>
        <c:marker>
          <c:symbol val="none"/>
        </c:marker>
      </c:pivotFmt>
      <c:pivotFmt>
        <c:idx val="760"/>
        <c:marker>
          <c:symbol val="none"/>
        </c:marker>
      </c:pivotFmt>
    </c:pivotFmts>
    <c:plotArea>
      <c:layout>
        <c:manualLayout>
          <c:layoutTarget val="inner"/>
          <c:xMode val="edge"/>
          <c:yMode val="edge"/>
          <c:x val="0.12378648033234256"/>
          <c:y val="0.10635222058134408"/>
          <c:w val="0.75904853533179795"/>
          <c:h val="0.63863654467754716"/>
        </c:manualLayout>
      </c:layout>
      <c:barChart>
        <c:barDir val="col"/>
        <c:grouping val="clustered"/>
        <c:varyColors val="0"/>
        <c:ser>
          <c:idx val="0"/>
          <c:order val="0"/>
          <c:tx>
            <c:strRef>
              <c:f>GPendingStack!$H$4</c:f>
              <c:strCache>
                <c:ptCount val="1"/>
                <c:pt idx="0">
                  <c:v>Total</c:v>
                </c:pt>
              </c:strCache>
            </c:strRef>
          </c:tx>
          <c:invertIfNegative val="0"/>
          <c:cat>
            <c:strRef>
              <c:f>GPendingStack!$G$5:$G$25</c:f>
              <c:strCache>
                <c:ptCount val="20"/>
                <c:pt idx="0">
                  <c:v>Japan</c:v>
                </c:pt>
                <c:pt idx="1">
                  <c:v>China</c:v>
                </c:pt>
                <c:pt idx="2">
                  <c:v>South Korea</c:v>
                </c:pt>
                <c:pt idx="3">
                  <c:v>India</c:v>
                </c:pt>
                <c:pt idx="4">
                  <c:v>Germany</c:v>
                </c:pt>
                <c:pt idx="5">
                  <c:v>United States</c:v>
                </c:pt>
                <c:pt idx="6">
                  <c:v>France</c:v>
                </c:pt>
                <c:pt idx="7">
                  <c:v>United Kingdom</c:v>
                </c:pt>
                <c:pt idx="8">
                  <c:v>Russia</c:v>
                </c:pt>
                <c:pt idx="9">
                  <c:v>Canada</c:v>
                </c:pt>
                <c:pt idx="10">
                  <c:v>Italy</c:v>
                </c:pt>
                <c:pt idx="11">
                  <c:v>Brazil </c:v>
                </c:pt>
                <c:pt idx="12">
                  <c:v>Saudi Arabia</c:v>
                </c:pt>
                <c:pt idx="13">
                  <c:v>Australia</c:v>
                </c:pt>
                <c:pt idx="14">
                  <c:v>Argentina</c:v>
                </c:pt>
                <c:pt idx="15">
                  <c:v>Indonesia</c:v>
                </c:pt>
                <c:pt idx="16">
                  <c:v>Mexico</c:v>
                </c:pt>
                <c:pt idx="17">
                  <c:v>South Africa</c:v>
                </c:pt>
                <c:pt idx="18">
                  <c:v>Turkey</c:v>
                </c:pt>
                <c:pt idx="19">
                  <c:v>Brazil</c:v>
                </c:pt>
              </c:strCache>
            </c:strRef>
          </c:cat>
          <c:val>
            <c:numRef>
              <c:f>GPendingStack!$H$5:$H$25</c:f>
              <c:numCache>
                <c:formatCode>_("$"* #,##0_);_("$"* \(#,##0\);_("$"* "-"??_);_(@_)</c:formatCode>
                <c:ptCount val="20"/>
                <c:pt idx="0">
                  <c:v>9627736319.7120667</c:v>
                </c:pt>
                <c:pt idx="1">
                  <c:v>7611367419.8587122</c:v>
                </c:pt>
                <c:pt idx="2">
                  <c:v>1642578257.4417455</c:v>
                </c:pt>
                <c:pt idx="3">
                  <c:v>1388186681.7191114</c:v>
                </c:pt>
                <c:pt idx="4">
                  <c:v>1293772563.8789222</c:v>
                </c:pt>
                <c:pt idx="5">
                  <c:v>1015211180.8283162</c:v>
                </c:pt>
                <c:pt idx="6">
                  <c:v>221812624.68049896</c:v>
                </c:pt>
                <c:pt idx="7">
                  <c:v>216696973.26377851</c:v>
                </c:pt>
                <c:pt idx="8">
                  <c:v>180359972.92487353</c:v>
                </c:pt>
                <c:pt idx="9">
                  <c:v>152156915.0854916</c:v>
                </c:pt>
                <c:pt idx="10">
                  <c:v>148853774.92973286</c:v>
                </c:pt>
                <c:pt idx="11">
                  <c:v>97472208.832305297</c:v>
                </c:pt>
                <c:pt idx="12">
                  <c:v>90017644.982695535</c:v>
                </c:pt>
                <c:pt idx="13">
                  <c:v>82994731.884936169</c:v>
                </c:pt>
                <c:pt idx="14">
                  <c:v>74616365.480322465</c:v>
                </c:pt>
                <c:pt idx="15">
                  <c:v>55416330.728047349</c:v>
                </c:pt>
                <c:pt idx="16">
                  <c:v>53540010.435692094</c:v>
                </c:pt>
                <c:pt idx="17">
                  <c:v>43237687.022421069</c:v>
                </c:pt>
                <c:pt idx="18">
                  <c:v>28638708.410169277</c:v>
                </c:pt>
                <c:pt idx="19">
                  <c:v>966384.72344927955</c:v>
                </c:pt>
              </c:numCache>
            </c:numRef>
          </c:val>
          <c:extLst>
            <c:ext xmlns:c16="http://schemas.microsoft.com/office/drawing/2014/chart" uri="{C3380CC4-5D6E-409C-BE32-E72D297353CC}">
              <c16:uniqueId val="{00000000-8FBF-402B-8231-DE2FFC5EBE86}"/>
            </c:ext>
          </c:extLst>
        </c:ser>
        <c:dLbls>
          <c:showLegendKey val="0"/>
          <c:showVal val="0"/>
          <c:showCatName val="0"/>
          <c:showSerName val="0"/>
          <c:showPercent val="0"/>
          <c:showBubbleSize val="0"/>
        </c:dLbls>
        <c:gapWidth val="150"/>
        <c:axId val="111377408"/>
        <c:axId val="111858432"/>
      </c:barChart>
      <c:catAx>
        <c:axId val="111377408"/>
        <c:scaling>
          <c:orientation val="minMax"/>
        </c:scaling>
        <c:delete val="0"/>
        <c:axPos val="b"/>
        <c:numFmt formatCode="General" sourceLinked="0"/>
        <c:majorTickMark val="out"/>
        <c:minorTickMark val="none"/>
        <c:tickLblPos val="nextTo"/>
        <c:txPr>
          <a:bodyPr/>
          <a:lstStyle/>
          <a:p>
            <a:pPr>
              <a:defRPr sz="1200"/>
            </a:pPr>
            <a:endParaRPr lang="en-US"/>
          </a:p>
        </c:txPr>
        <c:crossAx val="111858432"/>
        <c:crosses val="autoZero"/>
        <c:auto val="1"/>
        <c:lblAlgn val="ctr"/>
        <c:lblOffset val="100"/>
        <c:noMultiLvlLbl val="0"/>
      </c:catAx>
      <c:valAx>
        <c:axId val="111858432"/>
        <c:scaling>
          <c:orientation val="minMax"/>
          <c:min val="0"/>
        </c:scaling>
        <c:delete val="0"/>
        <c:axPos val="l"/>
        <c:majorGridlines/>
        <c:title>
          <c:tx>
            <c:rich>
              <a:bodyPr rot="-5400000" vert="horz"/>
              <a:lstStyle/>
              <a:p>
                <a:pPr>
                  <a:defRPr sz="1200"/>
                </a:pPr>
                <a:r>
                  <a:rPr lang="en-US" sz="1200"/>
                  <a:t>Billions USD</a:t>
                </a:r>
              </a:p>
              <a:p>
                <a:pPr>
                  <a:defRPr sz="1200"/>
                </a:pPr>
                <a:endParaRPr lang="en-US" sz="1200"/>
              </a:p>
            </c:rich>
          </c:tx>
          <c:layout>
            <c:manualLayout>
              <c:xMode val="edge"/>
              <c:yMode val="edge"/>
              <c:x val="1.9611015679284347E-2"/>
              <c:y val="0.3534941305428308"/>
            </c:manualLayout>
          </c:layout>
          <c:overlay val="0"/>
        </c:title>
        <c:numFmt formatCode="_(&quot;$&quot;* #,##0_);_(&quot;$&quot;* \(#,##0\);_(&quot;$&quot;* &quot;-&quot;??_);_(@_)" sourceLinked="1"/>
        <c:majorTickMark val="none"/>
        <c:minorTickMark val="none"/>
        <c:tickLblPos val="nextTo"/>
        <c:crossAx val="111377408"/>
        <c:crosses val="autoZero"/>
        <c:crossBetween val="between"/>
        <c:dispUnits>
          <c:builtInUnit val="billions"/>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[international-coal-finance-database-201611.xlsx]GYearOrgStack!PivotTable1</c:name>
    <c:fmtId val="0"/>
  </c:pivotSource>
  <c:chart>
    <c:title>
      <c:tx>
        <c:rich>
          <a:bodyPr/>
          <a:lstStyle/>
          <a:p>
            <a:pPr>
              <a:defRPr/>
            </a:pPr>
            <a:r>
              <a:rPr lang="en-US"/>
              <a:t>Coal</a:t>
            </a:r>
            <a:r>
              <a:rPr lang="en-US" baseline="0"/>
              <a:t> Finance 2007-2015</a:t>
            </a:r>
            <a:endParaRPr lang="en-US"/>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manualLayout>
          <c:layoutTarget val="inner"/>
          <c:xMode val="edge"/>
          <c:yMode val="edge"/>
          <c:x val="0.11018935324782497"/>
          <c:y val="0.14881541664055919"/>
          <c:w val="0.68610420928702354"/>
          <c:h val="0.76258457082785081"/>
        </c:manualLayout>
      </c:layout>
      <c:barChart>
        <c:barDir val="col"/>
        <c:grouping val="stacked"/>
        <c:varyColors val="0"/>
        <c:ser>
          <c:idx val="0"/>
          <c:order val="0"/>
          <c:tx>
            <c:strRef>
              <c:f>GYearOrgStack!$G$6:$G$7</c:f>
              <c:strCache>
                <c:ptCount val="1"/>
                <c:pt idx="0">
                  <c:v>Export Credit Agency</c:v>
                </c:pt>
              </c:strCache>
            </c:strRef>
          </c:tx>
          <c:invertIfNegative val="0"/>
          <c:cat>
            <c:strRef>
              <c:f>GYearOrgStack!$F$8:$F$17</c:f>
              <c:strCache>
                <c:ptCount val="9"/>
                <c:pt idx="0">
                  <c:v>2007</c:v>
                </c:pt>
                <c:pt idx="1">
                  <c:v>2008</c:v>
                </c:pt>
                <c:pt idx="2">
                  <c:v>2009</c:v>
                </c:pt>
                <c:pt idx="3">
                  <c:v>2010</c:v>
                </c:pt>
                <c:pt idx="4">
                  <c:v>2011</c:v>
                </c:pt>
                <c:pt idx="5">
                  <c:v>2012</c:v>
                </c:pt>
                <c:pt idx="6">
                  <c:v>2013</c:v>
                </c:pt>
                <c:pt idx="7">
                  <c:v>2014</c:v>
                </c:pt>
                <c:pt idx="8">
                  <c:v>2015</c:v>
                </c:pt>
              </c:strCache>
            </c:strRef>
          </c:cat>
          <c:val>
            <c:numRef>
              <c:f>GYearOrgStack!$G$8:$G$17</c:f>
              <c:numCache>
                <c:formatCode>"$"#,##0</c:formatCode>
                <c:ptCount val="9"/>
                <c:pt idx="0">
                  <c:v>3033995379.5100002</c:v>
                </c:pt>
                <c:pt idx="1">
                  <c:v>1952257557.3645</c:v>
                </c:pt>
                <c:pt idx="2">
                  <c:v>5622817465.4295502</c:v>
                </c:pt>
                <c:pt idx="3">
                  <c:v>3903972341.5075331</c:v>
                </c:pt>
                <c:pt idx="4">
                  <c:v>3419983242.1606603</c:v>
                </c:pt>
                <c:pt idx="5">
                  <c:v>10328187663.290464</c:v>
                </c:pt>
                <c:pt idx="6">
                  <c:v>6601637370.2506018</c:v>
                </c:pt>
                <c:pt idx="7">
                  <c:v>5607732494.1706123</c:v>
                </c:pt>
                <c:pt idx="8">
                  <c:v>4575988132.3372459</c:v>
                </c:pt>
              </c:numCache>
            </c:numRef>
          </c:val>
          <c:extLst>
            <c:ext xmlns:c16="http://schemas.microsoft.com/office/drawing/2014/chart" uri="{C3380CC4-5D6E-409C-BE32-E72D297353CC}">
              <c16:uniqueId val="{00000000-A791-46BB-9C9E-14B975109C87}"/>
            </c:ext>
          </c:extLst>
        </c:ser>
        <c:ser>
          <c:idx val="1"/>
          <c:order val="1"/>
          <c:tx>
            <c:strRef>
              <c:f>GYearOrgStack!$H$6:$H$7</c:f>
              <c:strCache>
                <c:ptCount val="1"/>
                <c:pt idx="0">
                  <c:v>Multilateral</c:v>
                </c:pt>
              </c:strCache>
            </c:strRef>
          </c:tx>
          <c:invertIfNegative val="0"/>
          <c:cat>
            <c:strRef>
              <c:f>GYearOrgStack!$F$8:$F$17</c:f>
              <c:strCache>
                <c:ptCount val="9"/>
                <c:pt idx="0">
                  <c:v>2007</c:v>
                </c:pt>
                <c:pt idx="1">
                  <c:v>2008</c:v>
                </c:pt>
                <c:pt idx="2">
                  <c:v>2009</c:v>
                </c:pt>
                <c:pt idx="3">
                  <c:v>2010</c:v>
                </c:pt>
                <c:pt idx="4">
                  <c:v>2011</c:v>
                </c:pt>
                <c:pt idx="5">
                  <c:v>2012</c:v>
                </c:pt>
                <c:pt idx="6">
                  <c:v>2013</c:v>
                </c:pt>
                <c:pt idx="7">
                  <c:v>2014</c:v>
                </c:pt>
                <c:pt idx="8">
                  <c:v>2015</c:v>
                </c:pt>
              </c:strCache>
            </c:strRef>
          </c:cat>
          <c:val>
            <c:numRef>
              <c:f>GYearOrgStack!$H$8:$H$17</c:f>
              <c:numCache>
                <c:formatCode>"$"#,##0</c:formatCode>
                <c:ptCount val="9"/>
                <c:pt idx="0">
                  <c:v>1003821045.8058792</c:v>
                </c:pt>
                <c:pt idx="1">
                  <c:v>1886582624.8920777</c:v>
                </c:pt>
                <c:pt idx="2">
                  <c:v>3061422938.3538847</c:v>
                </c:pt>
                <c:pt idx="3">
                  <c:v>1768881645.9702928</c:v>
                </c:pt>
                <c:pt idx="4">
                  <c:v>402852135.83130395</c:v>
                </c:pt>
                <c:pt idx="5">
                  <c:v>98910296.296398669</c:v>
                </c:pt>
                <c:pt idx="6">
                  <c:v>722943516.58962882</c:v>
                </c:pt>
                <c:pt idx="7">
                  <c:v>570811566.51847851</c:v>
                </c:pt>
                <c:pt idx="8">
                  <c:v>605688422.90796423</c:v>
                </c:pt>
              </c:numCache>
            </c:numRef>
          </c:val>
          <c:extLst>
            <c:ext xmlns:c16="http://schemas.microsoft.com/office/drawing/2014/chart" uri="{C3380CC4-5D6E-409C-BE32-E72D297353CC}">
              <c16:uniqueId val="{00000001-A791-46BB-9C9E-14B975109C87}"/>
            </c:ext>
          </c:extLst>
        </c:ser>
        <c:ser>
          <c:idx val="2"/>
          <c:order val="2"/>
          <c:tx>
            <c:strRef>
              <c:f>GYearOrgStack!$I$6:$I$7</c:f>
              <c:strCache>
                <c:ptCount val="1"/>
                <c:pt idx="0">
                  <c:v>Other Public Finance</c:v>
                </c:pt>
              </c:strCache>
            </c:strRef>
          </c:tx>
          <c:invertIfNegative val="0"/>
          <c:cat>
            <c:strRef>
              <c:f>GYearOrgStack!$F$8:$F$17</c:f>
              <c:strCache>
                <c:ptCount val="9"/>
                <c:pt idx="0">
                  <c:v>2007</c:v>
                </c:pt>
                <c:pt idx="1">
                  <c:v>2008</c:v>
                </c:pt>
                <c:pt idx="2">
                  <c:v>2009</c:v>
                </c:pt>
                <c:pt idx="3">
                  <c:v>2010</c:v>
                </c:pt>
                <c:pt idx="4">
                  <c:v>2011</c:v>
                </c:pt>
                <c:pt idx="5">
                  <c:v>2012</c:v>
                </c:pt>
                <c:pt idx="6">
                  <c:v>2013</c:v>
                </c:pt>
                <c:pt idx="7">
                  <c:v>2014</c:v>
                </c:pt>
                <c:pt idx="8">
                  <c:v>2015</c:v>
                </c:pt>
              </c:strCache>
            </c:strRef>
          </c:cat>
          <c:val>
            <c:numRef>
              <c:f>GYearOrgStack!$I$8:$I$17</c:f>
              <c:numCache>
                <c:formatCode>"$"#,##0</c:formatCode>
                <c:ptCount val="9"/>
                <c:pt idx="0">
                  <c:v>585498395.14210534</c:v>
                </c:pt>
                <c:pt idx="1">
                  <c:v>1377620000</c:v>
                </c:pt>
                <c:pt idx="2">
                  <c:v>771281460.46675003</c:v>
                </c:pt>
                <c:pt idx="3">
                  <c:v>1889218095.5944798</c:v>
                </c:pt>
                <c:pt idx="4">
                  <c:v>2031575866.6666667</c:v>
                </c:pt>
                <c:pt idx="5">
                  <c:v>3044371934.6210203</c:v>
                </c:pt>
                <c:pt idx="6">
                  <c:v>6411884764.4958429</c:v>
                </c:pt>
                <c:pt idx="7">
                  <c:v>1051988200</c:v>
                </c:pt>
                <c:pt idx="8">
                  <c:v>3941724572.6496</c:v>
                </c:pt>
              </c:numCache>
            </c:numRef>
          </c:val>
          <c:extLst>
            <c:ext xmlns:c16="http://schemas.microsoft.com/office/drawing/2014/chart" uri="{C3380CC4-5D6E-409C-BE32-E72D297353CC}">
              <c16:uniqueId val="{00000002-A791-46BB-9C9E-14B975109C87}"/>
            </c:ext>
          </c:extLst>
        </c:ser>
        <c:dLbls>
          <c:showLegendKey val="0"/>
          <c:showVal val="0"/>
          <c:showCatName val="0"/>
          <c:showSerName val="0"/>
          <c:showPercent val="0"/>
          <c:showBubbleSize val="0"/>
        </c:dLbls>
        <c:gapWidth val="55"/>
        <c:overlap val="100"/>
        <c:axId val="112150400"/>
        <c:axId val="112151936"/>
      </c:barChart>
      <c:catAx>
        <c:axId val="112150400"/>
        <c:scaling>
          <c:orientation val="minMax"/>
        </c:scaling>
        <c:delete val="0"/>
        <c:axPos val="b"/>
        <c:numFmt formatCode="General" sourceLinked="0"/>
        <c:majorTickMark val="none"/>
        <c:minorTickMark val="none"/>
        <c:tickLblPos val="nextTo"/>
        <c:crossAx val="112151936"/>
        <c:crosses val="autoZero"/>
        <c:auto val="1"/>
        <c:lblAlgn val="ctr"/>
        <c:lblOffset val="100"/>
        <c:noMultiLvlLbl val="0"/>
      </c:catAx>
      <c:valAx>
        <c:axId val="112151936"/>
        <c:scaling>
          <c:orientation val="minMax"/>
        </c:scaling>
        <c:delete val="0"/>
        <c:axPos val="l"/>
        <c:majorGridlines/>
        <c:numFmt formatCode="&quot;$&quot;#,##0" sourceLinked="1"/>
        <c:majorTickMark val="none"/>
        <c:minorTickMark val="none"/>
        <c:tickLblPos val="nextTo"/>
        <c:crossAx val="112150400"/>
        <c:crosses val="autoZero"/>
        <c:crossBetween val="between"/>
        <c:dispUnits>
          <c:builtInUnit val="billions"/>
          <c:dispUnitsLbl>
            <c:layout>
              <c:manualLayout>
                <c:xMode val="edge"/>
                <c:yMode val="edge"/>
                <c:x val="2.65392781316348E-2"/>
                <c:y val="0.43002615004616102"/>
              </c:manualLayout>
            </c:layout>
          </c:dispUnitsLbl>
        </c:dispUnits>
      </c:valAx>
    </c:plotArea>
    <c:legend>
      <c:legendPos val="r"/>
      <c:layout>
        <c:manualLayout>
          <c:xMode val="edge"/>
          <c:yMode val="edge"/>
          <c:x val="0.78639051169032148"/>
          <c:y val="0.38171056204181375"/>
          <c:w val="0.1934794048957762"/>
          <c:h val="0.39055968435910954"/>
        </c:manualLayout>
      </c:layout>
      <c:overlay val="0"/>
    </c:legend>
    <c:plotVisOnly val="1"/>
    <c:dispBlanksAs val="gap"/>
    <c:showDLblsOverMax val="0"/>
  </c:chart>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pivotSource>
    <c:name>[international-coal-finance-database-201611.xlsx]GSectorShare!PivotTable4</c:name>
    <c:fmtId val="6"/>
  </c:pivotSource>
  <c:chart>
    <c:title>
      <c:tx>
        <c:rich>
          <a:bodyPr/>
          <a:lstStyle/>
          <a:p>
            <a:pPr>
              <a:defRPr/>
            </a:pPr>
            <a:r>
              <a:rPr lang="en-US"/>
              <a:t>Total</a:t>
            </a:r>
            <a:r>
              <a:rPr lang="en-US" baseline="0"/>
              <a:t> Spending by Sector 2007-2015</a:t>
            </a:r>
            <a:endParaRPr lang="en-US"/>
          </a:p>
        </c:rich>
      </c:tx>
      <c:overlay val="0"/>
    </c:title>
    <c:autoTitleDeleted val="0"/>
    <c:pivotFmts>
      <c:pivotFmt>
        <c:idx val="0"/>
        <c:dLbl>
          <c:idx val="0"/>
          <c:spPr/>
          <c:txPr>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9"/>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8"/>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1"/>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3"/>
        <c:marker>
          <c:symbol val="none"/>
        </c:marker>
      </c:pivotFmt>
      <c:pivotFmt>
        <c:idx val="34"/>
        <c:marker>
          <c:symbol val="none"/>
        </c:marker>
      </c:pivotFmt>
      <c:pivotFmt>
        <c:idx val="35"/>
        <c:marker>
          <c:symbol val="none"/>
        </c:marker>
      </c:pivotFmt>
      <c:pivotFmt>
        <c:idx val="36"/>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dLbl>
          <c:idx val="0"/>
          <c:spPr>
            <a:noFill/>
            <a:ln>
              <a:noFill/>
            </a:ln>
            <a:effectLst/>
          </c:spPr>
          <c:txPr>
            <a:bodyPr wrap="square" lIns="38100" tIns="19050" rIns="38100" bIns="19050" anchor="ctr">
              <a:spAutoFit/>
            </a:bodyPr>
            <a:lstStyle/>
            <a:p>
              <a:pPr>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GSectorShare!$K$4</c:f>
              <c:strCache>
                <c:ptCount val="1"/>
                <c:pt idx="0">
                  <c:v>Total</c:v>
                </c:pt>
              </c:strCache>
            </c:strRef>
          </c:tx>
          <c:dLbls>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GSectorShare!$J$5:$J$9</c:f>
              <c:strCache>
                <c:ptCount val="5"/>
                <c:pt idx="0">
                  <c:v>Other/Unspecified</c:v>
                </c:pt>
                <c:pt idx="1">
                  <c:v>Coal Mining</c:v>
                </c:pt>
                <c:pt idx="2">
                  <c:v>Coal Power Plant</c:v>
                </c:pt>
                <c:pt idx="3">
                  <c:v>Transmission &amp; Distribution</c:v>
                </c:pt>
                <c:pt idx="4">
                  <c:v>Coal Power Plant Emissions Control</c:v>
                </c:pt>
              </c:strCache>
            </c:strRef>
          </c:cat>
          <c:val>
            <c:numRef>
              <c:f>GSectorShare!$K$5:$K$9</c:f>
              <c:numCache>
                <c:formatCode>0.00%</c:formatCode>
                <c:ptCount val="5"/>
                <c:pt idx="0">
                  <c:v>1.6113733837836163E-2</c:v>
                </c:pt>
                <c:pt idx="1">
                  <c:v>0.11013900854689314</c:v>
                </c:pt>
                <c:pt idx="2">
                  <c:v>0.83586561864310394</c:v>
                </c:pt>
                <c:pt idx="3">
                  <c:v>2.8855256960417321E-2</c:v>
                </c:pt>
                <c:pt idx="4">
                  <c:v>9.0263820117494845E-3</c:v>
                </c:pt>
              </c:numCache>
            </c:numRef>
          </c:val>
          <c:extLst>
            <c:ext xmlns:c16="http://schemas.microsoft.com/office/drawing/2014/chart" uri="{C3380CC4-5D6E-409C-BE32-E72D297353CC}">
              <c16:uniqueId val="{0000001F-E4CA-4BF9-8D6A-1BFB304CC069}"/>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68378223867226173"/>
          <c:y val="0.219913674291392"/>
          <c:w val="0.30124770144749874"/>
          <c:h val="0.69122177231238224"/>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[international-coal-finance-database-201611.xlsx]GRecipientBar!PivotTable7</c:name>
    <c:fmtId val="6"/>
  </c:pivotSource>
  <c:chart>
    <c:title>
      <c:tx>
        <c:rich>
          <a:bodyPr/>
          <a:lstStyle/>
          <a:p>
            <a:pPr>
              <a:defRPr/>
            </a:pPr>
            <a:r>
              <a:rPr lang="en-US"/>
              <a:t>Top Recipient Countries of Funding for Coal Projects 2007-2015</a:t>
            </a:r>
          </a:p>
        </c:rich>
      </c:tx>
      <c:overlay val="0"/>
    </c:title>
    <c:autoTitleDeleted val="0"/>
    <c:pivotFmts>
      <c:pivotFmt>
        <c:idx val="0"/>
        <c:marker>
          <c:symbol val="none"/>
        </c:marker>
      </c:pivotFmt>
      <c:pivotFmt>
        <c:idx val="1"/>
      </c:pivotFmt>
      <c:pivotFmt>
        <c:idx val="2"/>
      </c:pivotFmt>
      <c:pivotFmt>
        <c:idx val="3"/>
      </c:pivotFmt>
      <c:pivotFmt>
        <c:idx val="4"/>
      </c:pivotFmt>
      <c:pivotFmt>
        <c:idx val="5"/>
      </c:pivotFmt>
      <c:pivotFmt>
        <c:idx val="6"/>
      </c:pivotFmt>
      <c:pivotFmt>
        <c:idx val="7"/>
      </c:pivotFmt>
      <c:pivotFmt>
        <c:idx val="8"/>
        <c:marker>
          <c:symbol val="none"/>
        </c:marker>
      </c:pivotFmt>
      <c:pivotFmt>
        <c:idx val="9"/>
        <c:marker>
          <c:symbol val="none"/>
        </c:marker>
      </c:pivotFmt>
    </c:pivotFmts>
    <c:plotArea>
      <c:layout/>
      <c:barChart>
        <c:barDir val="col"/>
        <c:grouping val="clustered"/>
        <c:varyColors val="0"/>
        <c:ser>
          <c:idx val="0"/>
          <c:order val="0"/>
          <c:tx>
            <c:strRef>
              <c:f>GRecipientBar!$G$4</c:f>
              <c:strCache>
                <c:ptCount val="1"/>
                <c:pt idx="0">
                  <c:v>Total</c:v>
                </c:pt>
              </c:strCache>
            </c:strRef>
          </c:tx>
          <c:invertIfNegative val="0"/>
          <c:dPt>
            <c:idx val="0"/>
            <c:invertIfNegative val="0"/>
            <c:bubble3D val="0"/>
            <c:extLst>
              <c:ext xmlns:c16="http://schemas.microsoft.com/office/drawing/2014/chart" uri="{C3380CC4-5D6E-409C-BE32-E72D297353CC}">
                <c16:uniqueId val="{00000000-F4E1-4DB1-A730-C265418CEB78}"/>
              </c:ext>
            </c:extLst>
          </c:dPt>
          <c:dPt>
            <c:idx val="9"/>
            <c:invertIfNegative val="0"/>
            <c:bubble3D val="0"/>
            <c:extLst>
              <c:ext xmlns:c16="http://schemas.microsoft.com/office/drawing/2014/chart" uri="{C3380CC4-5D6E-409C-BE32-E72D297353CC}">
                <c16:uniqueId val="{00000001-F4E1-4DB1-A730-C265418CEB78}"/>
              </c:ext>
            </c:extLst>
          </c:dPt>
          <c:dPt>
            <c:idx val="10"/>
            <c:invertIfNegative val="0"/>
            <c:bubble3D val="0"/>
            <c:extLst>
              <c:ext xmlns:c16="http://schemas.microsoft.com/office/drawing/2014/chart" uri="{C3380CC4-5D6E-409C-BE32-E72D297353CC}">
                <c16:uniqueId val="{00000002-F4E1-4DB1-A730-C265418CEB78}"/>
              </c:ext>
            </c:extLst>
          </c:dPt>
          <c:dPt>
            <c:idx val="19"/>
            <c:invertIfNegative val="0"/>
            <c:bubble3D val="0"/>
            <c:extLst>
              <c:ext xmlns:c16="http://schemas.microsoft.com/office/drawing/2014/chart" uri="{C3380CC4-5D6E-409C-BE32-E72D297353CC}">
                <c16:uniqueId val="{00000003-F4E1-4DB1-A730-C265418CEB78}"/>
              </c:ext>
            </c:extLst>
          </c:dPt>
          <c:dPt>
            <c:idx val="23"/>
            <c:invertIfNegative val="0"/>
            <c:bubble3D val="0"/>
            <c:extLst>
              <c:ext xmlns:c16="http://schemas.microsoft.com/office/drawing/2014/chart" uri="{C3380CC4-5D6E-409C-BE32-E72D297353CC}">
                <c16:uniqueId val="{00000004-F4E1-4DB1-A730-C265418CEB78}"/>
              </c:ext>
            </c:extLst>
          </c:dPt>
          <c:dPt>
            <c:idx val="31"/>
            <c:invertIfNegative val="0"/>
            <c:bubble3D val="0"/>
            <c:extLst>
              <c:ext xmlns:c16="http://schemas.microsoft.com/office/drawing/2014/chart" uri="{C3380CC4-5D6E-409C-BE32-E72D297353CC}">
                <c16:uniqueId val="{00000005-F4E1-4DB1-A730-C265418CEB78}"/>
              </c:ext>
            </c:extLst>
          </c:dPt>
          <c:cat>
            <c:strRef>
              <c:f>GRecipientBar!$F$5:$F$15</c:f>
              <c:strCache>
                <c:ptCount val="10"/>
                <c:pt idx="0">
                  <c:v>Indonesia</c:v>
                </c:pt>
                <c:pt idx="1">
                  <c:v>Vietnam</c:v>
                </c:pt>
                <c:pt idx="2">
                  <c:v>South Africa</c:v>
                </c:pt>
                <c:pt idx="3">
                  <c:v>India</c:v>
                </c:pt>
                <c:pt idx="4">
                  <c:v>Russia</c:v>
                </c:pt>
                <c:pt idx="5">
                  <c:v>Australia</c:v>
                </c:pt>
                <c:pt idx="6">
                  <c:v>Morocco</c:v>
                </c:pt>
                <c:pt idx="7">
                  <c:v>Philippines</c:v>
                </c:pt>
                <c:pt idx="8">
                  <c:v>Serbia</c:v>
                </c:pt>
                <c:pt idx="9">
                  <c:v>Chile</c:v>
                </c:pt>
              </c:strCache>
            </c:strRef>
          </c:cat>
          <c:val>
            <c:numRef>
              <c:f>GRecipientBar!$G$5:$G$15</c:f>
              <c:numCache>
                <c:formatCode>"$"#,##0</c:formatCode>
                <c:ptCount val="10"/>
                <c:pt idx="0">
                  <c:v>10710434288.322912</c:v>
                </c:pt>
                <c:pt idx="1">
                  <c:v>10258154421.069624</c:v>
                </c:pt>
                <c:pt idx="2">
                  <c:v>7396419619.4866323</c:v>
                </c:pt>
                <c:pt idx="3">
                  <c:v>7113119209.8955603</c:v>
                </c:pt>
                <c:pt idx="4">
                  <c:v>5892797219.3362532</c:v>
                </c:pt>
                <c:pt idx="5">
                  <c:v>3548665416.2286997</c:v>
                </c:pt>
                <c:pt idx="6">
                  <c:v>2761296934.7558403</c:v>
                </c:pt>
                <c:pt idx="7">
                  <c:v>2719411861.6538</c:v>
                </c:pt>
                <c:pt idx="8">
                  <c:v>2389746765.0367689</c:v>
                </c:pt>
                <c:pt idx="9">
                  <c:v>2140335843.0172634</c:v>
                </c:pt>
              </c:numCache>
            </c:numRef>
          </c:val>
          <c:extLst>
            <c:ext xmlns:c16="http://schemas.microsoft.com/office/drawing/2014/chart" uri="{C3380CC4-5D6E-409C-BE32-E72D297353CC}">
              <c16:uniqueId val="{00000006-F4E1-4DB1-A730-C265418CEB78}"/>
            </c:ext>
          </c:extLst>
        </c:ser>
        <c:dLbls>
          <c:showLegendKey val="0"/>
          <c:showVal val="0"/>
          <c:showCatName val="0"/>
          <c:showSerName val="0"/>
          <c:showPercent val="0"/>
          <c:showBubbleSize val="0"/>
        </c:dLbls>
        <c:gapWidth val="150"/>
        <c:axId val="112551040"/>
        <c:axId val="112552576"/>
      </c:barChart>
      <c:catAx>
        <c:axId val="112551040"/>
        <c:scaling>
          <c:orientation val="minMax"/>
        </c:scaling>
        <c:delete val="0"/>
        <c:axPos val="b"/>
        <c:numFmt formatCode="General" sourceLinked="0"/>
        <c:majorTickMark val="out"/>
        <c:minorTickMark val="none"/>
        <c:tickLblPos val="nextTo"/>
        <c:crossAx val="112552576"/>
        <c:crosses val="autoZero"/>
        <c:auto val="1"/>
        <c:lblAlgn val="ctr"/>
        <c:lblOffset val="100"/>
        <c:noMultiLvlLbl val="0"/>
      </c:catAx>
      <c:valAx>
        <c:axId val="112552576"/>
        <c:scaling>
          <c:orientation val="minMax"/>
        </c:scaling>
        <c:delete val="0"/>
        <c:axPos val="l"/>
        <c:majorGridlines/>
        <c:numFmt formatCode="&quot;$&quot;#,##0" sourceLinked="0"/>
        <c:majorTickMark val="out"/>
        <c:minorTickMark val="none"/>
        <c:tickLblPos val="nextTo"/>
        <c:crossAx val="112551040"/>
        <c:crosses val="autoZero"/>
        <c:crossBetween val="between"/>
        <c:dispUnits>
          <c:builtInUnit val="billions"/>
          <c:dispUnitsLbl>
            <c:layout>
              <c:manualLayout>
                <c:xMode val="edge"/>
                <c:yMode val="edge"/>
                <c:x val="1.6212710765239901E-2"/>
                <c:y val="0.31192111133709799"/>
              </c:manualLayout>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[international-coal-finance-database-201611.xlsx]GOrgBar!PivotTable6</c:name>
    <c:fmtId val="2"/>
  </c:pivotSource>
  <c:chart>
    <c:title>
      <c:tx>
        <c:rich>
          <a:bodyPr/>
          <a:lstStyle/>
          <a:p>
            <a:pPr>
              <a:defRPr/>
            </a:pPr>
            <a:r>
              <a:rPr lang="en-US"/>
              <a:t>Total Ten</a:t>
            </a:r>
            <a:r>
              <a:rPr lang="en-US" baseline="0"/>
              <a:t> Coal Finance Institutions 2007-2015</a:t>
            </a:r>
          </a:p>
        </c:rich>
      </c:tx>
      <c:overlay val="0"/>
    </c:title>
    <c:autoTitleDeleted val="0"/>
    <c:pivotFmts>
      <c:pivotFmt>
        <c:idx val="0"/>
        <c:marker>
          <c:symbol val="none"/>
        </c:marker>
      </c:pivotFmt>
      <c:pivotFmt>
        <c:idx val="1"/>
        <c:marker>
          <c:symbol val="none"/>
        </c:marker>
      </c:pivotFmt>
      <c:pivotFmt>
        <c:idx val="2"/>
        <c:marker>
          <c:symbol val="none"/>
        </c:marker>
      </c:pivotFmt>
    </c:pivotFmts>
    <c:plotArea>
      <c:layout/>
      <c:barChart>
        <c:barDir val="col"/>
        <c:grouping val="clustered"/>
        <c:varyColors val="0"/>
        <c:ser>
          <c:idx val="0"/>
          <c:order val="0"/>
          <c:tx>
            <c:strRef>
              <c:f>GOrgBar!$J$2</c:f>
              <c:strCache>
                <c:ptCount val="1"/>
                <c:pt idx="0">
                  <c:v>Total</c:v>
                </c:pt>
              </c:strCache>
            </c:strRef>
          </c:tx>
          <c:invertIfNegative val="0"/>
          <c:cat>
            <c:strRef>
              <c:f>GOrgBar!$I$3:$I$13</c:f>
              <c:strCache>
                <c:ptCount val="10"/>
                <c:pt idx="0">
                  <c:v>China Exim Bank</c:v>
                </c:pt>
                <c:pt idx="1">
                  <c:v>JBIC</c:v>
                </c:pt>
                <c:pt idx="2">
                  <c:v>China Development Bank</c:v>
                </c:pt>
                <c:pt idx="3">
                  <c:v>Hermes</c:v>
                </c:pt>
                <c:pt idx="4">
                  <c:v>Nexi</c:v>
                </c:pt>
                <c:pt idx="5">
                  <c:v>World Bank</c:v>
                </c:pt>
                <c:pt idx="6">
                  <c:v>JICA</c:v>
                </c:pt>
                <c:pt idx="7">
                  <c:v>Export-Import Bank of Korea (Kexim)</c:v>
                </c:pt>
                <c:pt idx="8">
                  <c:v>Korea Trade Insurance Corporation (K-sure)</c:v>
                </c:pt>
                <c:pt idx="9">
                  <c:v>Russian Development Bank (VEB)</c:v>
                </c:pt>
              </c:strCache>
            </c:strRef>
          </c:cat>
          <c:val>
            <c:numRef>
              <c:f>GOrgBar!$J$3:$J$13</c:f>
              <c:numCache>
                <c:formatCode>"$"#,##0</c:formatCode>
                <c:ptCount val="10"/>
                <c:pt idx="0">
                  <c:v>12561137440.333334</c:v>
                </c:pt>
                <c:pt idx="1">
                  <c:v>11603539377.6387</c:v>
                </c:pt>
                <c:pt idx="2">
                  <c:v>10844104840.187859</c:v>
                </c:pt>
                <c:pt idx="3">
                  <c:v>5174453346.7900105</c:v>
                </c:pt>
                <c:pt idx="4">
                  <c:v>4379662099.7558403</c:v>
                </c:pt>
                <c:pt idx="5">
                  <c:v>4038361400.3093696</c:v>
                </c:pt>
                <c:pt idx="6">
                  <c:v>3752747498.6496</c:v>
                </c:pt>
                <c:pt idx="7">
                  <c:v>3575000000</c:v>
                </c:pt>
                <c:pt idx="8">
                  <c:v>2770000000</c:v>
                </c:pt>
                <c:pt idx="9">
                  <c:v>2520000000</c:v>
                </c:pt>
              </c:numCache>
            </c:numRef>
          </c:val>
          <c:extLst>
            <c:ext xmlns:c16="http://schemas.microsoft.com/office/drawing/2014/chart" uri="{C3380CC4-5D6E-409C-BE32-E72D297353CC}">
              <c16:uniqueId val="{00000000-2D44-427C-8AAC-ED8DDD925FBD}"/>
            </c:ext>
          </c:extLst>
        </c:ser>
        <c:dLbls>
          <c:showLegendKey val="0"/>
          <c:showVal val="0"/>
          <c:showCatName val="0"/>
          <c:showSerName val="0"/>
          <c:showPercent val="0"/>
          <c:showBubbleSize val="0"/>
        </c:dLbls>
        <c:gapWidth val="150"/>
        <c:axId val="112354432"/>
        <c:axId val="112355968"/>
      </c:barChart>
      <c:catAx>
        <c:axId val="112354432"/>
        <c:scaling>
          <c:orientation val="minMax"/>
        </c:scaling>
        <c:delete val="0"/>
        <c:axPos val="b"/>
        <c:numFmt formatCode="General" sourceLinked="0"/>
        <c:majorTickMark val="out"/>
        <c:minorTickMark val="none"/>
        <c:tickLblPos val="nextTo"/>
        <c:crossAx val="112355968"/>
        <c:crosses val="autoZero"/>
        <c:auto val="1"/>
        <c:lblAlgn val="ctr"/>
        <c:lblOffset val="100"/>
        <c:noMultiLvlLbl val="0"/>
      </c:catAx>
      <c:valAx>
        <c:axId val="112355968"/>
        <c:scaling>
          <c:orientation val="minMax"/>
        </c:scaling>
        <c:delete val="0"/>
        <c:axPos val="l"/>
        <c:majorGridlines/>
        <c:numFmt formatCode="&quot;$&quot;#,##0" sourceLinked="0"/>
        <c:majorTickMark val="out"/>
        <c:minorTickMark val="none"/>
        <c:tickLblPos val="nextTo"/>
        <c:crossAx val="112354432"/>
        <c:crosses val="autoZero"/>
        <c:crossBetween val="between"/>
        <c:dispUnits>
          <c:builtInUnit val="billions"/>
          <c:dispUnitsLbl>
            <c:layout>
              <c:manualLayout>
                <c:xMode val="edge"/>
                <c:yMode val="edge"/>
                <c:x val="1.2820512820512799E-2"/>
                <c:y val="0.38353367736099803"/>
              </c:manualLayout>
            </c:layout>
            <c:tx>
              <c:rich>
                <a:bodyPr/>
                <a:lstStyle/>
                <a:p>
                  <a:pPr>
                    <a:defRPr/>
                  </a:pPr>
                  <a:r>
                    <a:rPr lang="en-US"/>
                    <a:t>Billions USD</a:t>
                  </a:r>
                </a:p>
              </c:rich>
            </c:tx>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[international-coal-finance-database-201611.xlsx]BigSpendersxSector!PivotTable4</c:name>
    <c:fmtId val="0"/>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Spending by Sector 2007-2015</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s>
    <c:plotArea>
      <c:layout>
        <c:manualLayout>
          <c:layoutTarget val="inner"/>
          <c:xMode val="edge"/>
          <c:yMode val="edge"/>
          <c:x val="8.8696532796414151E-2"/>
          <c:y val="0.17171296296296296"/>
          <c:w val="0.65031400184565957"/>
          <c:h val="0.72088764946048411"/>
        </c:manualLayout>
      </c:layout>
      <c:barChart>
        <c:barDir val="col"/>
        <c:grouping val="percentStacked"/>
        <c:varyColors val="0"/>
        <c:ser>
          <c:idx val="0"/>
          <c:order val="0"/>
          <c:tx>
            <c:strRef>
              <c:f>BigSpendersxSector!$B$3:$B$4</c:f>
              <c:strCache>
                <c:ptCount val="1"/>
                <c:pt idx="0">
                  <c:v>Coal Power Plant Emissions Control</c:v>
                </c:pt>
              </c:strCache>
            </c:strRef>
          </c:tx>
          <c:spPr>
            <a:solidFill>
              <a:schemeClr val="accent1"/>
            </a:solidFill>
            <a:ln>
              <a:noFill/>
            </a:ln>
            <a:effectLst/>
          </c:spPr>
          <c:invertIfNegative val="0"/>
          <c:cat>
            <c:strRef>
              <c:f>BigSpendersxSector!$A$5:$A$9</c:f>
              <c:strCache>
                <c:ptCount val="4"/>
                <c:pt idx="0">
                  <c:v>China</c:v>
                </c:pt>
                <c:pt idx="1">
                  <c:v>Germany</c:v>
                </c:pt>
                <c:pt idx="2">
                  <c:v>Japan</c:v>
                </c:pt>
                <c:pt idx="3">
                  <c:v>South Korea</c:v>
                </c:pt>
              </c:strCache>
            </c:strRef>
          </c:cat>
          <c:val>
            <c:numRef>
              <c:f>BigSpendersxSector!$B$5:$B$9</c:f>
              <c:numCache>
                <c:formatCode>General</c:formatCode>
                <c:ptCount val="4"/>
                <c:pt idx="1">
                  <c:v>363492860.14950973</c:v>
                </c:pt>
              </c:numCache>
            </c:numRef>
          </c:val>
          <c:extLst>
            <c:ext xmlns:c16="http://schemas.microsoft.com/office/drawing/2014/chart" uri="{C3380CC4-5D6E-409C-BE32-E72D297353CC}">
              <c16:uniqueId val="{00000000-73ED-4D76-B173-71AD311097A0}"/>
            </c:ext>
          </c:extLst>
        </c:ser>
        <c:ser>
          <c:idx val="1"/>
          <c:order val="1"/>
          <c:tx>
            <c:strRef>
              <c:f>BigSpendersxSector!$C$3:$C$4</c:f>
              <c:strCache>
                <c:ptCount val="1"/>
                <c:pt idx="0">
                  <c:v>T&amp;D</c:v>
                </c:pt>
              </c:strCache>
            </c:strRef>
          </c:tx>
          <c:spPr>
            <a:solidFill>
              <a:schemeClr val="accent2"/>
            </a:solidFill>
            <a:ln>
              <a:noFill/>
            </a:ln>
            <a:effectLst/>
          </c:spPr>
          <c:invertIfNegative val="0"/>
          <c:cat>
            <c:strRef>
              <c:f>BigSpendersxSector!$A$5:$A$9</c:f>
              <c:strCache>
                <c:ptCount val="4"/>
                <c:pt idx="0">
                  <c:v>China</c:v>
                </c:pt>
                <c:pt idx="1">
                  <c:v>Germany</c:v>
                </c:pt>
                <c:pt idx="2">
                  <c:v>Japan</c:v>
                </c:pt>
                <c:pt idx="3">
                  <c:v>South Korea</c:v>
                </c:pt>
              </c:strCache>
            </c:strRef>
          </c:cat>
          <c:val>
            <c:numRef>
              <c:f>BigSpendersxSector!$C$5:$C$9</c:f>
              <c:numCache>
                <c:formatCode>General</c:formatCode>
                <c:ptCount val="4"/>
                <c:pt idx="0">
                  <c:v>51000000</c:v>
                </c:pt>
                <c:pt idx="1">
                  <c:v>46200000</c:v>
                </c:pt>
                <c:pt idx="2">
                  <c:v>2036236266.3499999</c:v>
                </c:pt>
                <c:pt idx="3">
                  <c:v>3096000</c:v>
                </c:pt>
              </c:numCache>
            </c:numRef>
          </c:val>
          <c:extLst>
            <c:ext xmlns:c16="http://schemas.microsoft.com/office/drawing/2014/chart" uri="{C3380CC4-5D6E-409C-BE32-E72D297353CC}">
              <c16:uniqueId val="{00000001-73ED-4D76-B173-71AD311097A0}"/>
            </c:ext>
          </c:extLst>
        </c:ser>
        <c:ser>
          <c:idx val="2"/>
          <c:order val="2"/>
          <c:tx>
            <c:strRef>
              <c:f>BigSpendersxSector!$D$3:$D$4</c:f>
              <c:strCache>
                <c:ptCount val="1"/>
                <c:pt idx="0">
                  <c:v>Coal Mining</c:v>
                </c:pt>
              </c:strCache>
            </c:strRef>
          </c:tx>
          <c:spPr>
            <a:solidFill>
              <a:schemeClr val="accent3"/>
            </a:solidFill>
            <a:ln>
              <a:noFill/>
            </a:ln>
            <a:effectLst/>
          </c:spPr>
          <c:invertIfNegative val="0"/>
          <c:cat>
            <c:strRef>
              <c:f>BigSpendersxSector!$A$5:$A$9</c:f>
              <c:strCache>
                <c:ptCount val="4"/>
                <c:pt idx="0">
                  <c:v>China</c:v>
                </c:pt>
                <c:pt idx="1">
                  <c:v>Germany</c:v>
                </c:pt>
                <c:pt idx="2">
                  <c:v>Japan</c:v>
                </c:pt>
                <c:pt idx="3">
                  <c:v>South Korea</c:v>
                </c:pt>
              </c:strCache>
            </c:strRef>
          </c:cat>
          <c:val>
            <c:numRef>
              <c:f>BigSpendersxSector!$D$5:$D$9</c:f>
              <c:numCache>
                <c:formatCode>General</c:formatCode>
                <c:ptCount val="4"/>
                <c:pt idx="0">
                  <c:v>2604352753.8923726</c:v>
                </c:pt>
                <c:pt idx="1">
                  <c:v>1210829922.1925862</c:v>
                </c:pt>
                <c:pt idx="2">
                  <c:v>1538401142.9905906</c:v>
                </c:pt>
                <c:pt idx="3">
                  <c:v>4119972.0582372453</c:v>
                </c:pt>
              </c:numCache>
            </c:numRef>
          </c:val>
          <c:extLst>
            <c:ext xmlns:c16="http://schemas.microsoft.com/office/drawing/2014/chart" uri="{C3380CC4-5D6E-409C-BE32-E72D297353CC}">
              <c16:uniqueId val="{00000002-73ED-4D76-B173-71AD311097A0}"/>
            </c:ext>
          </c:extLst>
        </c:ser>
        <c:ser>
          <c:idx val="3"/>
          <c:order val="3"/>
          <c:tx>
            <c:strRef>
              <c:f>BigSpendersxSector!$E$3:$E$4</c:f>
              <c:strCache>
                <c:ptCount val="1"/>
                <c:pt idx="0">
                  <c:v>Other/Unspecified</c:v>
                </c:pt>
              </c:strCache>
            </c:strRef>
          </c:tx>
          <c:spPr>
            <a:solidFill>
              <a:schemeClr val="accent4"/>
            </a:solidFill>
            <a:ln>
              <a:noFill/>
            </a:ln>
            <a:effectLst/>
          </c:spPr>
          <c:invertIfNegative val="0"/>
          <c:cat>
            <c:strRef>
              <c:f>BigSpendersxSector!$A$5:$A$9</c:f>
              <c:strCache>
                <c:ptCount val="4"/>
                <c:pt idx="0">
                  <c:v>China</c:v>
                </c:pt>
                <c:pt idx="1">
                  <c:v>Germany</c:v>
                </c:pt>
                <c:pt idx="2">
                  <c:v>Japan</c:v>
                </c:pt>
                <c:pt idx="3">
                  <c:v>South Korea</c:v>
                </c:pt>
              </c:strCache>
            </c:strRef>
          </c:cat>
          <c:val>
            <c:numRef>
              <c:f>BigSpendersxSector!$E$5:$E$9</c:f>
              <c:numCache>
                <c:formatCode>General</c:formatCode>
                <c:ptCount val="4"/>
                <c:pt idx="0">
                  <c:v>3599479331.5001807</c:v>
                </c:pt>
                <c:pt idx="1">
                  <c:v>2095932525.8626585</c:v>
                </c:pt>
                <c:pt idx="2">
                  <c:v>5352112889.0640287</c:v>
                </c:pt>
                <c:pt idx="3">
                  <c:v>901022435.70461047</c:v>
                </c:pt>
              </c:numCache>
            </c:numRef>
          </c:val>
          <c:extLst>
            <c:ext xmlns:c16="http://schemas.microsoft.com/office/drawing/2014/chart" uri="{C3380CC4-5D6E-409C-BE32-E72D297353CC}">
              <c16:uniqueId val="{00000003-73ED-4D76-B173-71AD311097A0}"/>
            </c:ext>
          </c:extLst>
        </c:ser>
        <c:ser>
          <c:idx val="4"/>
          <c:order val="4"/>
          <c:tx>
            <c:strRef>
              <c:f>BigSpendersxSector!$F$3:$F$4</c:f>
              <c:strCache>
                <c:ptCount val="1"/>
                <c:pt idx="0">
                  <c:v>Coal Power Plant</c:v>
                </c:pt>
              </c:strCache>
            </c:strRef>
          </c:tx>
          <c:spPr>
            <a:solidFill>
              <a:schemeClr val="accent5"/>
            </a:solidFill>
            <a:ln>
              <a:noFill/>
            </a:ln>
            <a:effectLst/>
          </c:spPr>
          <c:invertIfNegative val="0"/>
          <c:cat>
            <c:strRef>
              <c:f>BigSpendersxSector!$A$5:$A$9</c:f>
              <c:strCache>
                <c:ptCount val="4"/>
                <c:pt idx="0">
                  <c:v>China</c:v>
                </c:pt>
                <c:pt idx="1">
                  <c:v>Germany</c:v>
                </c:pt>
                <c:pt idx="2">
                  <c:v>Japan</c:v>
                </c:pt>
                <c:pt idx="3">
                  <c:v>South Korea</c:v>
                </c:pt>
              </c:strCache>
            </c:strRef>
          </c:cat>
          <c:val>
            <c:numRef>
              <c:f>BigSpendersxSector!$F$5:$F$9</c:f>
              <c:numCache>
                <c:formatCode>General</c:formatCode>
                <c:ptCount val="4"/>
                <c:pt idx="0">
                  <c:v>18278280020.593166</c:v>
                </c:pt>
                <c:pt idx="1">
                  <c:v>5130046757.6419868</c:v>
                </c:pt>
                <c:pt idx="2">
                  <c:v>12117444440.654396</c:v>
                </c:pt>
                <c:pt idx="3">
                  <c:v>5652418402.6323719</c:v>
                </c:pt>
              </c:numCache>
            </c:numRef>
          </c:val>
          <c:extLst>
            <c:ext xmlns:c16="http://schemas.microsoft.com/office/drawing/2014/chart" uri="{C3380CC4-5D6E-409C-BE32-E72D297353CC}">
              <c16:uniqueId val="{00000004-73ED-4D76-B173-71AD311097A0}"/>
            </c:ext>
          </c:extLst>
        </c:ser>
        <c:dLbls>
          <c:showLegendKey val="0"/>
          <c:showVal val="0"/>
          <c:showCatName val="0"/>
          <c:showSerName val="0"/>
          <c:showPercent val="0"/>
          <c:showBubbleSize val="0"/>
        </c:dLbls>
        <c:gapWidth val="219"/>
        <c:overlap val="100"/>
        <c:axId val="112621440"/>
        <c:axId val="112622976"/>
      </c:barChart>
      <c:catAx>
        <c:axId val="11262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2622976"/>
        <c:crosses val="autoZero"/>
        <c:auto val="1"/>
        <c:lblAlgn val="ctr"/>
        <c:lblOffset val="100"/>
        <c:noMultiLvlLbl val="0"/>
      </c:catAx>
      <c:valAx>
        <c:axId val="11262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621440"/>
        <c:crosses val="autoZero"/>
        <c:crossBetween val="between"/>
      </c:valAx>
      <c:spPr>
        <a:noFill/>
        <a:ln>
          <a:noFill/>
        </a:ln>
        <a:effectLst/>
      </c:spPr>
    </c:plotArea>
    <c:legend>
      <c:legendPos val="r"/>
      <c:layout>
        <c:manualLayout>
          <c:xMode val="edge"/>
          <c:yMode val="edge"/>
          <c:x val="0.756768018152982"/>
          <c:y val="0.23921004666083406"/>
          <c:w val="0.22801128169481097"/>
          <c:h val="0.6423665791776027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part2.C3A08423.943A3E8A@priceofoil.or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123826</xdr:colOff>
      <xdr:row>14</xdr:row>
      <xdr:rowOff>40935</xdr:rowOff>
    </xdr:from>
    <xdr:to>
      <xdr:col>0</xdr:col>
      <xdr:colOff>4054123</xdr:colOff>
      <xdr:row>19</xdr:row>
      <xdr:rowOff>171450</xdr:rowOff>
    </xdr:to>
    <xdr:pic>
      <xdr:nvPicPr>
        <xdr:cNvPr id="2" name="E4D57559-C0A5-4A34-9A79-96C5CB867768" descr="cid:part2.C3A08423.943A3E8A@priceofoil.or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3826" y="2707935"/>
          <a:ext cx="3930297" cy="1083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7</xdr:row>
      <xdr:rowOff>76200</xdr:rowOff>
    </xdr:from>
    <xdr:to>
      <xdr:col>0</xdr:col>
      <xdr:colOff>3848101</xdr:colOff>
      <xdr:row>14</xdr:row>
      <xdr:rowOff>88060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021" t="17964" r="11812" b="17664"/>
        <a:stretch/>
      </xdr:blipFill>
      <xdr:spPr>
        <a:xfrm>
          <a:off x="57151" y="1409700"/>
          <a:ext cx="3790950" cy="13453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624840</xdr:colOff>
      <xdr:row>9</xdr:row>
      <xdr:rowOff>38100</xdr:rowOff>
    </xdr:from>
    <xdr:to>
      <xdr:col>4</xdr:col>
      <xdr:colOff>419100</xdr:colOff>
      <xdr:row>24</xdr:row>
      <xdr:rowOff>38100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1</xdr:row>
      <xdr:rowOff>0</xdr:rowOff>
    </xdr:from>
    <xdr:to>
      <xdr:col>8</xdr:col>
      <xdr:colOff>76200</xdr:colOff>
      <xdr:row>19</xdr:row>
      <xdr:rowOff>158115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322290</xdr:colOff>
      <xdr:row>3</xdr:row>
      <xdr:rowOff>87456</xdr:rowOff>
    </xdr:from>
    <xdr:to>
      <xdr:col>9</xdr:col>
      <xdr:colOff>1371601</xdr:colOff>
      <xdr:row>29</xdr:row>
      <xdr:rowOff>100445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217714</xdr:colOff>
      <xdr:row>1</xdr:row>
      <xdr:rowOff>32658</xdr:rowOff>
    </xdr:from>
    <xdr:to>
      <xdr:col>4</xdr:col>
      <xdr:colOff>4454237</xdr:colOff>
      <xdr:row>29</xdr:row>
      <xdr:rowOff>13855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217714</xdr:colOff>
      <xdr:row>1</xdr:row>
      <xdr:rowOff>32658</xdr:rowOff>
    </xdr:from>
    <xdr:to>
      <xdr:col>4</xdr:col>
      <xdr:colOff>4454237</xdr:colOff>
      <xdr:row>29</xdr:row>
      <xdr:rowOff>13855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100853</xdr:colOff>
      <xdr:row>1</xdr:row>
      <xdr:rowOff>26334</xdr:rowOff>
    </xdr:from>
    <xdr:to>
      <xdr:col>4</xdr:col>
      <xdr:colOff>818030</xdr:colOff>
      <xdr:row>20</xdr:row>
      <xdr:rowOff>22412</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106681</xdr:colOff>
      <xdr:row>1</xdr:row>
      <xdr:rowOff>55245</xdr:rowOff>
    </xdr:from>
    <xdr:to>
      <xdr:col>8</xdr:col>
      <xdr:colOff>198121</xdr:colOff>
      <xdr:row>16</xdr:row>
      <xdr:rowOff>120015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276225</xdr:colOff>
      <xdr:row>0</xdr:row>
      <xdr:rowOff>142876</xdr:rowOff>
    </xdr:from>
    <xdr:to>
      <xdr:col>4</xdr:col>
      <xdr:colOff>447675</xdr:colOff>
      <xdr:row>17</xdr:row>
      <xdr:rowOff>9526</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171450</xdr:colOff>
      <xdr:row>4</xdr:row>
      <xdr:rowOff>66674</xdr:rowOff>
    </xdr:from>
    <xdr:to>
      <xdr:col>7</xdr:col>
      <xdr:colOff>333375</xdr:colOff>
      <xdr:row>20</xdr:row>
      <xdr:rowOff>126177</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20Coal%20Database%2011-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2007-2015 Projects"/>
      <sheetName val="2016 &amp; Pending Projects"/>
      <sheetName val="GCountryBar"/>
      <sheetName val="GYearlyCountry"/>
      <sheetName val="2016"/>
      <sheetName val="GPendingStack"/>
      <sheetName val="GYearOrgStack"/>
      <sheetName val="GSectorShare"/>
      <sheetName val="GRecipientBar"/>
      <sheetName val="Notes &amp; Methodology"/>
      <sheetName val="Responses"/>
      <sheetName val="GOrgBar"/>
      <sheetName val="BigSpendersxSector"/>
      <sheetName val="FunderbyCountry"/>
      <sheetName val="Dev Bank Share by Country"/>
      <sheetName val="EmissionCompleted"/>
      <sheetName val="EmissionPending"/>
      <sheetName val="GCountryShareDone"/>
      <sheetName val="GCountrySharePending"/>
      <sheetName val="GOrgShare&amp;CO2"/>
      <sheetName val="GCO2Share"/>
      <sheetName val="Statements about Emissions"/>
      <sheetName val="Non-G20"/>
      <sheetName val="ChinaCoal1"/>
      <sheetName val="ChinaCoal2"/>
      <sheetName val="ChinaCoal3"/>
      <sheetName val="ChinaCoal4"/>
      <sheetName val="China commercial"/>
      <sheetName val="TBD Projects"/>
      <sheetName val="2016 Coal Database 11-1-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Han Chen" refreshedDate="42671.439822337961" createdVersion="4" refreshedVersion="4" minRefreshableVersion="3" recordCount="139">
  <cacheSource type="worksheet">
    <worksheetSource name="Pending"/>
  </cacheSource>
  <cacheFields count="21">
    <cacheField name="Country" numFmtId="0">
      <sharedItems containsBlank="1" count="29">
        <s v="China"/>
        <s v="Russia"/>
        <s v="Japan"/>
        <s v="South Korea"/>
        <s v="Germany"/>
        <s v="India"/>
        <s v="United States"/>
        <s v="France"/>
        <s v="United Kingdom"/>
        <s v="Canada"/>
        <s v="Italy"/>
        <s v="Brazil "/>
        <s v="Saudi Arabia"/>
        <s v="Australia"/>
        <s v="Argentina"/>
        <s v="Indonesia"/>
        <s v="Mexico"/>
        <s v="South Africa"/>
        <s v="Turkey"/>
        <s v="Brazil"/>
        <s v="Multilateral"/>
        <m u="1"/>
        <s v="Denmark" u="1"/>
        <s v="Japan " u="1"/>
        <s v="Korea" u="1"/>
        <s v="Czech" u="1"/>
        <s v="China (commercial)" u="1"/>
        <s v="China 17 projects, 21 .5 GW, $21.85B" u="1"/>
        <s v="Poland" u="1"/>
      </sharedItems>
    </cacheField>
    <cacheField name="Institution" numFmtId="0">
      <sharedItems containsBlank="1" count="51">
        <s v="China Development Bank"/>
        <s v=" _x000a_Sberbank"/>
        <s v="Japan Oil Gas and Metals National Corporation"/>
        <s v="Japan Bank for International Cooperation (JBIC)"/>
        <s v="Nippon Export and Investment Insurance (NEXI)"/>
        <s v="Korea Development Bank"/>
        <s v="Euler Hermes"/>
        <s v="China Exim Bank"/>
        <s v=" China Exim Bank"/>
        <s v="Export Import Bank of India"/>
        <s v="World Bank - International Finance Corporation"/>
        <s v="Korea Trade Insurance Corporation (K-sure)"/>
        <s v="Export-Import Bank of Korea (Kexim) "/>
        <s v="Export-Import Bank of Korea (Kexim)"/>
        <s v="Kreditanstalt für Wiederaufbau (KfW)"/>
        <s v="Japan International Cooperation Agency (JICA)"/>
        <s v="Kreditanstalt für Wiederaufbau (KfW IPEX)"/>
        <s v="African Development Bank"/>
        <s v="Asian Development Bank"/>
        <s v="European Bank for Reconstruction and Development"/>
        <m/>
        <s v="Export-Import Bank - US"/>
        <s v="China Export &amp; Credit Insurance Corporation (Sinosure)"/>
        <s v="TBD"/>
        <s v="Export Credit Insurance Corporation of South Africa "/>
        <s v="Industrial and Commercial Bank of China (ICBC)" u="1"/>
        <s v="Royal Bank of Scotland" u="1"/>
        <s v="China Construction Bank" u="1"/>
        <s v="China Africa Development Fund" u="1"/>
        <s v="Compagnie Francaise d'Assurance pour le Commerce Exterieur (COFACE)" u="1"/>
        <s v="Inter-American Development Bank" u="1"/>
        <s v="Servizi Assicurativi del Commercio Estero (SACE)" u="1"/>
        <s v="UK Export Finance (UKEF)" u="1"/>
        <s v="Bank of China" u="1"/>
        <s v="Korporacja Ubezpieczén Kredytów Eksportowych (KUKE)" u="1"/>
        <s v="Export Development Canada (EDC)" u="1"/>
        <s v="World Bank - International Development Association" u="1"/>
        <s v="European Investment Bank" u="1"/>
        <s v="Unspecified" u="1"/>
        <s v="Japan Bank for International Cooperation (JBIC) " u="1"/>
        <s v="Bank of Communications" u="1"/>
        <s v="Industrial and Commercial Bank of China" u="1"/>
        <s v="World Bank - International Bank for Reconstruction and Development" u="1"/>
        <s v="Agricultural Bank of China" u="1"/>
        <s v="Kreditanstalt für Wiederaufbau (KfW IPEX )" u="1"/>
        <s v="Kreditanstalt für Wiederaufbau (KfW Development Bank )" u="1"/>
        <s v="Multilateral" u="1"/>
        <s v="Japan International Cooperation Agency" u="1"/>
        <s v="Eksport Kredit Fonden (EKF)" u="1"/>
        <s v="Kreditanstalt für Wiederaufbau (KfW  DEG)" u="1"/>
        <s v="Czech Export Bank (CEB) or Export Guarantee and Insurance Corporation (EGAP) " u="1"/>
      </sharedItems>
      <fieldGroup par="20"/>
    </cacheField>
    <cacheField name="Type" numFmtId="0">
      <sharedItems containsBlank="1"/>
    </cacheField>
    <cacheField name="Amount (in USD)" numFmtId="0">
      <sharedItems containsBlank="1" containsMixedTypes="1" containsNumber="1" minValue="0" maxValue="3700000000"/>
    </cacheField>
    <cacheField name="Project Sponsor" numFmtId="0">
      <sharedItems containsBlank="1"/>
    </cacheField>
    <cacheField name="Project" numFmtId="0">
      <sharedItems containsBlank="1"/>
    </cacheField>
    <cacheField name="Project URL" numFmtId="0">
      <sharedItems containsBlank="1"/>
    </cacheField>
    <cacheField name="Recipient" numFmtId="0">
      <sharedItems containsBlank="1" count="41">
        <s v="Pakistan"/>
        <s v="Russia"/>
        <s v="Indonesia"/>
        <s v="South Korea"/>
        <s v="Croatia"/>
        <s v="Zimbabwe"/>
        <s v="Bangladesh"/>
        <s v="Myanmar"/>
        <s v="Egypt"/>
        <s v="Ukraine"/>
        <s v="Mozambique"/>
        <s v="Bosnia &amp; Herzegovina"/>
        <s v="Vietnam"/>
        <s v="Malawi"/>
        <s v="Tajikistan "/>
        <s v="Botswana"/>
        <s v="Greece"/>
        <s v="Kazakhstan"/>
        <s v="Macedonia"/>
        <s v="Serbia"/>
        <s v="South Africa"/>
        <s v="Mongolia"/>
        <s v="Australia"/>
        <s v="Kosovo"/>
        <s v="Mozambique, Malawi"/>
        <s v="India"/>
        <s v="Malaysia"/>
        <m u="1"/>
        <s v="Dominican Republic" u="1"/>
        <s v="Kenya" u="1"/>
        <s v="Zambia" u="1"/>
        <s v="Dubai" u="1"/>
        <s v="Zimbawe" u="1"/>
        <s v="Tanzania" u="1"/>
        <s v="Nigeria" u="1"/>
        <s v="Montenegro" u="1"/>
        <s v="Brazil" u="1"/>
        <s v="Ghana" u="1"/>
        <s v="Turkey " u="1"/>
        <s v="UAE" u="1"/>
        <s v="Turkey" u="1"/>
      </sharedItems>
    </cacheField>
    <cacheField name="Sector Group" numFmtId="0">
      <sharedItems containsBlank="1"/>
    </cacheField>
    <cacheField name="Sector" numFmtId="0">
      <sharedItems containsBlank="1" containsMixedTypes="1" containsNumber="1" minValue="0" maxValue="1310" count="35">
        <s v="Coal Power Plant and Mining - Existing"/>
        <s v="Coal - other"/>
        <s v="Coal - Exploration"/>
        <s v="Coal power plant - expansion"/>
        <s v="Coal Terminal"/>
        <s v="Coal Mining"/>
        <s v="Coal Power Plant"/>
        <s v="Coal Power Plant - New"/>
        <s v="Coal power plant - new "/>
        <s v="Coal Power - New"/>
        <s v="Coal - Transport"/>
        <s v="Coal - New"/>
        <s v="Coal Power Plant Emissions Control"/>
        <s v="Coal Mining - shipping to support export"/>
        <s v="Coal port and railway"/>
        <s v="Coal Power - Existing"/>
        <s v="Coal-fired district heating"/>
        <s v="Other"/>
        <s v="Coal Power Plant - Existing"/>
        <m/>
        <n v="0" u="1"/>
        <n v="17.857142857142858" u="1"/>
        <n v="85.714285714285708" u="1"/>
        <n v="685.71428571428567" u="1"/>
        <n v="1310" u="1"/>
        <n v="102.85714285714286" u="1"/>
        <n v="61.333333333333336" u="1"/>
        <n v="52" u="1"/>
        <n v="533.33333333333337" u="1"/>
        <n v="88.333333333333329" u="1"/>
        <n v="51.428571428571431" u="1"/>
        <n v="250" u="1"/>
        <n v="240" u="1"/>
        <n v="67" u="1"/>
        <n v="340" u="1"/>
      </sharedItems>
      <fieldGroup par="19"/>
    </cacheField>
    <cacheField name="Approval Date" numFmtId="14">
      <sharedItems containsSemiMixedTypes="0" containsNonDate="0" containsDate="1" containsString="0" minDate="2016-02-19T00:00:00" maxDate="2050-01-02T00:00:00" count="11">
        <d v="2016-04-08T00:00:00"/>
        <d v="2016-02-19T00:00:00"/>
        <d v="2016-03-10T00:00:00"/>
        <d v="2016-03-14T00:00:00"/>
        <d v="2016-03-16T00:00:00"/>
        <d v="2016-04-01T00:00:00"/>
        <d v="2016-04-02T00:00:00"/>
        <d v="2016-09-29T00:00:00"/>
        <d v="2016-06-01T00:00:00"/>
        <d v="2016-06-07T00:00:00"/>
        <d v="2050-01-01T00:00:00"/>
      </sharedItems>
      <fieldGroup base="10">
        <rangePr groupBy="years" startDate="2016-02-19T00:00:00" endDate="2050-01-02T00:00:00"/>
        <groupItems count="37">
          <s v="&lt;2/19/2016"/>
          <s v="2016"/>
          <s v="2017"/>
          <s v="2018"/>
          <s v="2019"/>
          <s v="2020"/>
          <s v="2021"/>
          <s v="2022"/>
          <s v="2023"/>
          <s v="2024"/>
          <s v="2025"/>
          <s v="2026"/>
          <s v="2027"/>
          <s v="2028"/>
          <s v="2029"/>
          <s v="2030"/>
          <s v="2031"/>
          <s v="2032"/>
          <s v="2033"/>
          <s v="2034"/>
          <s v="2035"/>
          <s v="2036"/>
          <s v="2037"/>
          <s v="2038"/>
          <s v="2039"/>
          <s v="2040"/>
          <s v="2041"/>
          <s v="2042"/>
          <s v="2043"/>
          <s v="2044"/>
          <s v="2045"/>
          <s v="2046"/>
          <s v="2047"/>
          <s v="2048"/>
          <s v="2049"/>
          <s v="2050"/>
          <s v="&gt;1/2/2050"/>
        </groupItems>
      </fieldGroup>
    </cacheField>
    <cacheField name="Notes" numFmtId="0">
      <sharedItems containsBlank="1" longText="1"/>
    </cacheField>
    <cacheField name="Additional URLs" numFmtId="0">
      <sharedItems containsBlank="1" longText="1"/>
    </cacheField>
    <cacheField name="Power Plant Size (MW) or Share" numFmtId="0">
      <sharedItems containsString="0" containsBlank="1" containsNumber="1" minValue="0" maxValue="2000"/>
    </cacheField>
    <cacheField name="Annual Emissions (MMTCO2)" numFmtId="0">
      <sharedItems containsString="0" containsBlank="1" containsNumber="1" minValue="0" maxValue="2.2761454638000003"/>
    </cacheField>
    <cacheField name="Lifetime Emissions (MMTCO2)" numFmtId="0">
      <sharedItems containsString="0" containsBlank="1" containsNumber="1" minValue="0" maxValue="91.045818552000014"/>
    </cacheField>
    <cacheField name="Coal Mine Size (Mtpa)" numFmtId="0">
      <sharedItems containsString="0" containsBlank="1" containsNumber="1" minValue="1.2666666666666666" maxValue="3"/>
    </cacheField>
    <cacheField name="Multi-Stakeholder" numFmtId="0">
      <sharedItems containsBlank="1"/>
    </cacheField>
    <cacheField name="Project Status" numFmtId="0">
      <sharedItems containsBlank="1"/>
    </cacheField>
    <cacheField name="Sector2" numFmtId="0" databaseField="0">
      <fieldGroup base="9">
        <discretePr count="35">
          <x v="32"/>
          <x v="28"/>
          <x v="30"/>
          <x v="17"/>
          <x v="31"/>
          <x v="0"/>
          <x v="17"/>
          <x v="17"/>
          <x v="22"/>
          <x v="26"/>
          <x v="21"/>
          <x v="23"/>
          <x v="18"/>
          <x v="20"/>
          <x v="19"/>
          <x v="27"/>
          <x v="1"/>
          <x v="24"/>
          <x v="25"/>
          <x v="29"/>
          <x v="16"/>
          <x v="4"/>
          <x v="2"/>
          <x v="3"/>
          <x v="7"/>
          <x v="5"/>
          <x v="12"/>
          <x v="14"/>
          <x v="10"/>
          <x v="15"/>
          <x v="6"/>
          <x v="9"/>
          <x v="8"/>
          <x v="13"/>
          <x v="11"/>
        </discretePr>
        <groupItems count="33">
          <s v="Group2"/>
          <s v="Group5"/>
          <n v="85.714285714285708"/>
          <n v="685.71428571428567"/>
          <n v="17.857142857142858"/>
          <n v="102.85714285714286"/>
          <n v="51.428571428571431"/>
          <n v="1310"/>
          <n v="240"/>
          <n v="250"/>
          <n v="533.33333333333337"/>
          <n v="340"/>
          <n v="61.333333333333336"/>
          <n v="67"/>
          <n v="52"/>
          <n v="88.333333333333329"/>
          <n v="0"/>
          <s v="Group1"/>
          <s v="Coal Power Plant Emissions Control"/>
          <s v="Coal port and railway"/>
          <s v="Coal Mining - shipping to support export"/>
          <s v="Coal - Transport"/>
          <s v="Coal Power Plant - New "/>
          <s v="Coal - New"/>
          <s v="Other"/>
          <s v="Coal Power Plant - Existing"/>
          <s v="Coal Power - New"/>
          <s v="Coal Power - Existing"/>
          <s v="Coal - other"/>
          <m/>
          <s v="Coal - Exploration"/>
          <s v="Coal Terminal"/>
          <s v="Coal Power Plant and Mining - Existing"/>
        </groupItems>
      </fieldGroup>
    </cacheField>
    <cacheField name="Institution2" numFmtId="0" databaseField="0">
      <fieldGroup base="1">
        <discretePr count="51">
          <x v="22"/>
          <x v="45"/>
          <x v="41"/>
          <x v="1"/>
          <x v="0"/>
          <x v="38"/>
          <x v="4"/>
          <x v="23"/>
          <x v="43"/>
          <x v="39"/>
          <x v="18"/>
          <x v="36"/>
          <x v="27"/>
          <x v="28"/>
          <x v="12"/>
          <x v="2"/>
          <x v="12"/>
          <x v="15"/>
          <x v="17"/>
          <x v="32"/>
          <x v="10"/>
          <x v="3"/>
          <x v="29"/>
          <x v="33"/>
          <x v="40"/>
          <x v="25"/>
          <x v="8"/>
          <x v="34"/>
          <x v="44"/>
          <x v="5"/>
          <x v="16"/>
          <x v="6"/>
          <x v="7"/>
          <x v="24"/>
          <x v="31"/>
          <x v="9"/>
          <x v="18"/>
          <x v="14"/>
          <x v="19"/>
          <x v="26"/>
          <x v="35"/>
          <x v="30"/>
          <x v="18"/>
          <x v="37"/>
          <x v="11"/>
          <x v="12"/>
          <x v="13"/>
          <x v="42"/>
          <x v="21"/>
          <x v="12"/>
          <x v="20"/>
        </discretePr>
        <groupItems count="46">
          <s v="Nippon Export and Investment Insurance (NEXI)"/>
          <s v="Japan Bank for International Cooperation (JBIC)"/>
          <s v="Japan International Cooperation Agency (JICA)"/>
          <s v="Export-Import Bank - US"/>
          <s v="Euler Hermes"/>
          <s v="Compagnie Francaise d'Assurance pour le Commerce Exterieur (COFACE)"/>
          <s v="Servizi Assicurativi del Commercio Estero (SACE)"/>
          <s v="UK Export Finance (UKEF)"/>
          <s v="Royal Bank of Scotland"/>
          <s v="Export Development Canada (EDC)"/>
          <m/>
          <s v="Kreditanstalt für Wiederaufbau (KfW IPEX )"/>
          <s v="Group1"/>
          <s v="Multilateral"/>
          <s v="European Investment Bank"/>
          <s v="African Development Bank"/>
          <s v="Inter-American Development Bank"/>
          <s v="Asian Development Bank"/>
          <s v="Group2"/>
          <s v="Unspecified"/>
          <s v="Czech Export Bank (CEB) or Export Guarantee and Insurance Corporation (EGAP) "/>
          <s v="Eksport Kredit Fonden (EKF)"/>
          <s v="China Development Bank"/>
          <s v="China Exim Bank"/>
          <s v="Bank of China"/>
          <s v="Industrial and Commercial Bank of China (ICBC)"/>
          <s v="Japan Bank for International Cooperation (JBIC) "/>
          <s v="Export-Import Bank of Korea (Kexim) "/>
          <s v="Export-Import Bank of Korea (Kexim)"/>
          <s v="China Export &amp; Credit Insurance Corporation (Sinosure)"/>
          <s v="Industrial and Commercial Bank of China"/>
          <s v="Korporacja Ubezpieczén Kredytów Eksportowych (KUKE)"/>
          <s v="European Bank for Reconstruction and Development"/>
          <s v="TBD"/>
          <s v="China Construction Bank"/>
          <s v="Bank of Communications"/>
          <s v="Korea Trade Insurance Corporation (K-sure)"/>
          <s v="Agricultural Bank of China"/>
          <s v="Korea Development Bank"/>
          <s v="Export Import Bank of India"/>
          <s v="Export Credit Insurance Corporation of South Africa "/>
          <s v="Japan Oil Gas and Metals National Corporation"/>
          <s v="Japan International Cooperation Agency"/>
          <s v=" China Exim Bank"/>
          <s v="China Africa Development Fund"/>
          <s v=" _x000a_Sberbank"/>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an Chen" refreshedDate="42671.448353703701" createdVersion="4" refreshedVersion="4" minRefreshableVersion="3" recordCount="1256">
  <cacheSource type="worksheet">
    <worksheetSource name="CompletedProjects"/>
  </cacheSource>
  <cacheFields count="22">
    <cacheField name="Country" numFmtId="0">
      <sharedItems containsBlank="1" count="39">
        <s v="Argentina"/>
        <s v="Australia"/>
        <s v="Brazil"/>
        <s v="Brazil "/>
        <s v="Canada"/>
        <s v="China"/>
        <s v="France"/>
        <s v="Germany"/>
        <s v="India"/>
        <s v="Indonesia"/>
        <s v="Italy"/>
        <s v="Japan"/>
        <s v="Mexico"/>
        <s v="Russia"/>
        <s v="Saudi Arabia"/>
        <s v="South Africa"/>
        <s v="South Korea"/>
        <s v="Turkey"/>
        <s v="United Kingdom"/>
        <s v="United States"/>
        <s v="Scotland" u="1"/>
        <m u="1"/>
        <s v="Denmark" u="1"/>
        <s v="Inter-American Development Bank" u="1"/>
        <s v="Sweden" u="1"/>
        <s v="Korea" u="1"/>
        <s v="Spain" u="1"/>
        <s v="Holland" u="1"/>
        <s v="European Investment Bank" u="1"/>
        <s v="Czech" u="1"/>
        <s v="China (commercial)" u="1"/>
        <s v="Netherlands" u="1"/>
        <s v=" Slovak Republic" u="1"/>
        <s v="African Development Bank" u="1"/>
        <s v="China " u="1"/>
        <s v="China, United Kingdom" u="1"/>
        <s v="Poland" u="1"/>
        <s v="Slovak Republic" u="1"/>
        <s v="Austria" u="1"/>
      </sharedItems>
    </cacheField>
    <cacheField name="Institution" numFmtId="0">
      <sharedItems containsMixedTypes="1" containsNumber="1" minValue="3.19" maxValue="3.19" count="34">
        <s v="World Bank - International Finance Corporation"/>
        <s v="World Bank - International Development Association"/>
        <s v="Inter-American Development Bank"/>
        <s v="African Development Bank"/>
        <s v="World Bank - International Bank for Reconstruction and Development"/>
        <s v="Asian Development Bank"/>
        <s v="European Bank for Reconstruction and Development"/>
        <s v="Export Finance and Insurance Corporation (EFIC)"/>
        <s v="Export Development Canada (EDC)"/>
        <s v="China Development Bank"/>
        <s v="China Exim Bank"/>
        <s v="China Export &amp; Credit Insurance Corporation (Sinosure)"/>
        <s v="European Investment Bank"/>
        <s v="Compagnie Francaise d'Assurance pour le Commerce Exterieur (COFACE)"/>
        <s v="Euler Hermes"/>
        <s v="Kreditanstalt für Wiederaufbau (KfW IPEX)"/>
        <s v="Kreditanstalt für Wiederaufbau (KfW DEG)"/>
        <s v="Kreditanstalt für Wiederaufbau (KfW)"/>
        <s v="Export Import Bank of India"/>
        <s v="United Bank of India"/>
        <s v="Servizi Assicurativi del Commercio Estero (SACE)"/>
        <s v="Nippon Export and Investment Insurance (NEXI)"/>
        <s v="Japan Bank for International Cooperation (JBIC)"/>
        <s v="Japan International Cooperation Agency (JICA)"/>
        <s v="Russian Development Bank (VEB)"/>
        <s v="Development Bank of Southern Africa"/>
        <s v="Industrial Development Corporation of South Africa"/>
        <s v="Export-Import Bank of Korea (Kexim)"/>
        <s v="Korea Trade Insurance Corporation (K-sure)"/>
        <s v="Halkbank"/>
        <s v="Royal Bank of Scotland"/>
        <s v="UK Export Finance (UKEF)"/>
        <s v="Export-Import Bank - US"/>
        <n v="3.19" u="1"/>
      </sharedItems>
      <fieldGroup par="21"/>
    </cacheField>
    <cacheField name="Type" numFmtId="0">
      <sharedItems containsMixedTypes="1" containsNumber="1" minValue="1053636.5641227011" maxValue="625303598.68712389" count="44">
        <s v="Multilateral"/>
        <s v="Export Credit Agency"/>
        <s v="Other Public Financer"/>
        <n v="6860694.6525479872" u="1"/>
        <n v="14493216.01821362" u="1"/>
        <n v="6100626.7326579848" u="1"/>
        <n v="364120431.31772327" u="1"/>
        <n v="96622509.007794067" u="1"/>
        <n v="7212865.7066307552" u="1"/>
        <n v="13728817.672463715" u="1"/>
        <n v="1053636.5641227011" u="1"/>
        <n v="56610900.469696596" u="1"/>
        <n v="520796914.4246906" u="1"/>
        <n v="21121257.957636483" u="1"/>
        <n v="25080148.572947033" u="1"/>
        <n v="20835585.002812099" u="1"/>
        <n v="16322237.203821752" u="1"/>
        <n v="21169590.355708927" u="1"/>
        <n v="5017263.5317153577" u="1"/>
        <n v="11228200.768696841" u="1"/>
        <n v="32965083.744263906" u="1"/>
        <n v="32434560.833394904" u="1"/>
        <n v="230142360.83356369" u="1"/>
        <n v="4380444.5388556197" u="1"/>
        <n v="12260006.147772869" u="1"/>
        <n v="16099412.351475714" u="1"/>
        <n v="3097691.4985207412" u="1"/>
        <n v="14330811.545742838" u="1"/>
        <n v="32864798.982242882" u="1"/>
        <n v="35415105.537330553" u="1"/>
        <n v="92601523.660442099" u="1"/>
        <n v="391182488.82529688" u="1"/>
        <n v="5475990.5957400389" u="1"/>
        <n v="19597569.377785709" u="1"/>
        <n v="160086839.4169074" u="1"/>
        <n v="12878506.944235522" u="1"/>
        <n v="18473303.086042911" u="1"/>
        <n v="47149548.394288421" u="1"/>
        <n v="2075043.1063462533" u="1"/>
        <n v="118213167.50419164" u="1"/>
        <n v="92933535.013600528" u="1"/>
        <n v="11411857.263576753" u="1"/>
        <n v="625303598.68712389" u="1"/>
        <n v="358260466.49469543" u="1"/>
      </sharedItems>
    </cacheField>
    <cacheField name="Amount (in USD)" numFmtId="172">
      <sharedItems containsString="0" containsBlank="1" containsNumber="1" minValue="0" maxValue="2500000000"/>
    </cacheField>
    <cacheField name="Project Sponsor" numFmtId="0">
      <sharedItems containsBlank="1" count="323">
        <s v="ACWA Equity"/>
        <s v="Suez Energy Andino"/>
        <s v="Government of the Kyrgyz Republic"/>
        <s v="Energias do Brasil S.A. and MPX Energia S.A."/>
        <s v="UTE Porto do Itaqui Geração de Energia Ltda."/>
        <s v="Lanco Amarkantak Power Private Limited"/>
        <s v="Masinloc Power Partners Co Ltd"/>
        <s v="Government of Botswana"/>
        <s v="Eskom"/>
        <s v="Government of Senegal"/>
        <s v="Government of Mongolia"/>
        <s v="Tata Power"/>
        <s v="PT Makmur Sejahtera Wisesa"/>
        <s v="Stora Enso Oyj "/>
        <s v="Nigerian Bulk Electricity Trading"/>
        <s v="Republic of Madagascar"/>
        <s v="Government of Kosovo"/>
        <s v="Government of India"/>
        <s v="Electrotherm"/>
        <s v="Himadri Chemicals &amp; Industries Limited"/>
        <s v="Government of Indonesia"/>
        <s v="REPUBLIC OF KOSOVO"/>
        <s v="Government of Mozambique "/>
        <s v="Oyu Tolgoi, LLC"/>
        <s v="Pakistan International Bulk Terminal Limited"/>
        <s v="Government of Pakistan"/>
        <s v="Government of Tajikistan"/>
        <s v="Government of Ukraine"/>
        <s v="Mongolia Ministry of Mining and Energy"/>
        <s v="Sogrinsk CHP LLP"/>
        <s v="Coal Energy"/>
        <s v="Initec"/>
        <s v="Viet Nam Electricity(EVN)"/>
        <s v="Not identified"/>
        <s v="EPS"/>
        <s v="Vietnam Electricity (EVN)"/>
        <s v="Government of the Philippines"/>
        <s v="Anglo Coal Australia"/>
        <s v="Mongolian Gold MAK"/>
        <s v="Government of China"/>
        <s v="Enel SpA"/>
        <s v="Ukhaa Khudag coal mine"/>
        <s v="CET Oltenia"/>
        <s v="Elektrownia Patnow II Sp. Z.O.O. (EPII)"/>
        <s v="Pavlodar Energo"/>
        <s v="Greengen Co. Ltd."/>
        <s v="Termoelektrarna Šoštanj"/>
        <s v="Xstrata Coal Queensland"/>
        <s v="Bank Support Clinets"/>
        <s v="KEPCO SPC POWER CORPORATION"/>
        <s v="TGK-18"/>
        <s v="Energy Resources LLC"/>
        <s v="Elektroprivreda Srbije (EPS)"/>
        <s v="Leighton Mongolia"/>
        <s v="NRW Holdings Ltd"/>
        <s v="Interdon"/>
        <s v="Saturn Management Limited Liability Partnership"/>
        <s v="Wiggins Island Coal Export Terminal"/>
        <s v="Newcastle Coal Infrastructure Group Pty Ltd."/>
        <s v="Wiggins Island Coal Export Terminal Pty Ltd"/>
        <s v="ConocoPhillips, Origin Energy and Sinopec​"/>
        <s v="Hindalco Industries Limited​​"/>
        <s v="Government of Cote d'Ivoire"/>
        <s v="PLN Indonesia"/>
        <s v="PT PLN"/>
        <s v="China National Electric Equipment Corporation (CNEEC)"/>
        <s v="Jhajjar Power Limited (CLP India)"/>
        <s v="Reliance Power"/>
        <s v=" _x000a_En+ Group and Shenhua Group"/>
        <s v="National Petroleum Corporation "/>
        <s v="EFT Group"/>
        <s v="PT PLN Persero"/>
        <s v="PT Bumi Resources"/>
        <s v="Adani Power"/>
        <s v="Sinar Mas Group"/>
        <s v=" Lanco Infratech Ltd"/>
        <s v="China Power International Development Limited Company, Power Corporation (Vietnam National Coal-Natural Industries Corporation)"/>
        <s v="General Energy Bali"/>
        <s v="Ouro Negro Energia, SEPCO1 (Shandong Electric Power Construction Corporation) and Nwepdi (Northwest Power Design Institute)"/>
        <s v="Government of Sri Lanka"/>
        <s v="Raj Westpower"/>
        <s v="Electricity of Vietnam"/>
        <s v="Quang Ninh Thermal Power_x000a_Joint Stock Company"/>
        <s v="Sinopec Engineering"/>
        <s v="China Machinery Engineering"/>
        <s v="An Khanh Electricity"/>
        <s v="KazMunaiGas"/>
        <s v="Iran Power Development_x000a_Company"/>
        <s v="Serbian Ministry of Energy, Development and Environmental Protection"/>
        <s v="Sepco III"/>
        <s v="Office National de l’Electricité"/>
        <s v="Bishkek CHP power station"/>
        <s v="Indonesian State Electricity Company"/>
        <s v="Industrial and Construction Bank of Uzbekistan "/>
        <s v="JAKS Resources and China Power Engineering Consulting Group"/>
        <s v="Zimbabwe Power Company"/>
        <s v="Bukit Asam and China Huadian Corporation Power Operation Company"/>
        <s v="Nava Bharat and ZCCM"/>
        <s v="STEAG Aktiengesellschaft, Germany    _x000a_ENV AG, Austria"/>
        <s v="ENEL"/>
        <s v="Fortum Corporation"/>
        <s v="Termoelectrica S.A."/>
        <s v="POWER PLANT KARLSRUHE"/>
        <s v="Public Power Corporation S.A. (PPC - the Greek electricity utility)"/>
        <s v="Alstom Power Systems SA"/>
        <s v="Stora Enso Oyj"/>
        <s v="Poludniowy Koncern Energetyczny SA"/>
        <s v="Holding Slovenske Elektrarne d.o.o."/>
        <s v="Holding Slovenske Elektrarne"/>
        <s v="Macedonia Electricity Producer (ELEM)"/>
        <s v="Steag GmbH and EVN Ag"/>
        <s v="Lanco Group"/>
        <s v="APGenco"/>
        <s v="TAKRAF GmbH"/>
        <s v="GHECO-One Co., Ltd. "/>
        <s v="ThyssenKrupp Fördertechnik GmbH"/>
        <s v="Hitachi Power Europe"/>
        <s v="The Israel Electric Corporation LTD"/>
        <s v="Bucyrus DBT Europe GmbH"/>
        <s v="Siemens and Bosch Rexroth"/>
        <s v="Himadri Chemicals &amp; Industries Ltd"/>
        <s v="Hitachi Power Europe GmbH"/>
        <s v="Bucyrus Europe GmbH"/>
        <s v="National Thermal Power Corporation"/>
        <s v="Küttner GmbH &amp; Co."/>
        <s v="Electric Power Industry of Serbia "/>
        <s v="ThyssenKrupp Resource Technologies AG"/>
        <s v="Israel Electric Corporation LTD (IEC)"/>
        <s v="&quot;A German Exporter&quot;"/>
        <s v="HuDe GmbH, Erkelenz"/>
        <s v="Gujarat NRE Coking Coal Ltd"/>
        <s v="PT Kaltim Prima Coal and PT Arutmin Indonesia"/>
        <s v="Saipem"/>
        <s v="Coeclerici Group"/>
        <m/>
        <s v="PT Pamapersada Nusantara (PAMA)"/>
        <s v="Government of Vietnam"/>
        <s v="PT. Pamapersada Nusantara"/>
        <s v="CrimsonPower Holdings"/>
        <s v="NTPC Limited "/>
        <s v="P.T. Central Java Power (Sumitomo Corporation has ownership interests)"/>
        <s v="Sumitomo"/>
        <s v="L&amp;T-MHI Boilers Private Ltd. &amp; L&amp;T-MHI Turbine Generators Private Ltd."/>
        <s v="Government of Bosnia and Herzegovina"/>
        <s v="Toshiba JSW Turbine &amp; Generator Ltd."/>
        <s v="PT Paiton Energy (Mitsui and Tokyo Electric Power Company have equity stakes)"/>
        <s v="P.T. Cirebon Electric Power (Marubeni Corporation has equity stakes)"/>
        <s v="Mitsubishi"/>
        <s v="Vietnam National Coal and Mineral Industries Group"/>
        <s v="JAIPRAKASH POWER VENTURES LTD"/>
        <s v="Sojitz Coal Resources Pty Ltd"/>
        <s v="Vietnam Oil and Gas Group"/>
        <s v="Mitsubishi Heavy Industries"/>
        <s v="Government of Serbia"/>
        <s v="Nabha Power Limited"/>
        <s v="Mitsui Kestrel Coal Investment Pty Ltd"/>
        <s v="ITOCHU Coal Americas Inc."/>
        <s v="Marubeni Corporation"/>
        <s v="BNP Paribas Tokyo Branch, Standard Chartered Bank Tokyo Branch, and Societe Generale Tokyo Branch"/>
        <s v="Tokyo branches of BNP Paribas Bank (leading agent), Standard Chartered Bank and Societe Generale Bank"/>
        <s v="Open Joint Stock Company Siberian Coal Energy Company"/>
        <s v="JFE Holdings, Inc"/>
        <s v="JX Nippon Oil &amp; Energy Corporation"/>
        <s v="Sumisho Coal Australia (an Australian subsidiary of Sumitomo Corporation)"/>
        <s v="MC Finance Australia Pty Ltd (Subsidary of Mitsubishi Corporation)"/>
        <s v="PT PLN (Persero)"/>
        <s v="Mitsubishi Corporation"/>
        <s v="Empresa Electrica Cochrane SpA (a subsidiary of Mitsubishi Corporation)"/>
        <s v="Idemitsu Australia Resources Pty Ltd"/>
        <s v="The Bank of Tokyo-Mitsubishi UFJ, Ltd. (BTMU; lead arranger), Mizuho Bank, Ltd. (MHBK) and Citibank Japan Ltd. (Citi)"/>
        <s v="Sojitz Corporation"/>
        <s v="Sumitomo Mitsui Banking Corporation"/>
        <s v="Toshiba"/>
        <s v="Government of Bangladesh"/>
        <s v="The Bank of Tokyo-Mitsubishi UFJ, Ltd"/>
        <s v="State Bank of India"/>
        <s v="Safi Energy Company S.A. AND Nareva Holding S.A. (Nareva)"/>
        <s v="The Bank of Tokyo-Mitsubishi UFJ, Ltd., Sumitomo Mitsui Banking Corporation, The Mizuho Bank Ltd., Sumitomo Mitsui Trust Bank, Limited, and Islamic Development Bank"/>
        <s v=" _x000a_Mongolian Development Bank"/>
        <s v="Mechel"/>
        <s v=" _x000a_Nava Bharat (65%); ZCCM Investment Holdings (35%)"/>
        <s v="PetroVietnam"/>
        <s v="SPV Empresa Electrica Angamos (EEA)"/>
        <s v="GIEG(Gemeng International Energy Group)"/>
        <s v="Doosan Heavy Industry &amp; Construction"/>
        <s v="P.T. Cirebon Electric Power"/>
        <s v="POSCO &amp; Doosan"/>
        <s v="POSCO Power and Doosan Heavy Industries &amp; Construction"/>
        <s v="Hyundai E&amp;C"/>
        <s v="Daewoo E&amp;C and Mitsui &amp; Co"/>
        <s v="Enerjisa (owned by E.ON &amp; Sabanci)"/>
        <s v="Daelim Industrial"/>
        <s v="Doosan Heavy Industries and Construction"/>
        <s v=" _x000a_Can Komur (subsidiary of Odas Elektrik)"/>
        <s v="Lower Wilgat LCC"/>
        <s v="Hazelwood Power Finance Pty Ltd"/>
        <s v="Joy Mining Ltd"/>
        <s v="Hindalco Industries Ltd (HNDL)"/>
        <s v="Calpine Development Holdings Inc"/>
        <s v="Arch Coal Inc."/>
        <s v="Drax"/>
        <s v="Ratch Australia Corporation Limited"/>
        <s v="Siberian Coal Energy Company"/>
        <s v="BHP Billiton"/>
        <s v="Xcoal Energy &amp; Resources LLC"/>
        <s v="EQSTRA HOLDINGS (PTY) LTD"/>
        <s v="Australia Pacific"/>
        <s v="OJSC VTB LEASING"/>
        <s v="BG Group (UK)"/>
        <s v="Oyu Tolgoi LLC"/>
        <s v="Zao Sberbank Leasing"/>
        <s v="PT Bukit Asam, PLN, and_x000a_MAXpower Group (joint_x000a_venture)" u="1"/>
        <s v="Itochu, J-Power" u="1"/>
        <s v="SUMSEL-5 POWER STATION_x000a_(AKA SUMATERA SELATAN-_x000a_5)" u="1"/>
        <s v="Vinacomin" u="1"/>
        <s v="_x000a_Caterpillar Inc. " u="1"/>
        <s v="Morupule B Power Project " u="1"/>
        <s v="Srei Infrastructure Finance Ltd." u="1"/>
        <s v="PT Bhimasena Power Indonesia (BPI) - a joint venture by PT Adaro Energy Tbk and Itochu Corp and Electric Power Development Co (J-Power)" u="1"/>
        <s v="TGK-19" u="1"/>
        <s v="General Electric" u="1"/>
        <s v="Sandy Creek Energy Associates" u="1"/>
        <s v="Unspecified =(578463486.804/0.711)" u="1"/>
        <s v="Anpara II and Himawat" u="1"/>
        <s v="China National Electric Equipment Corporation" u="1"/>
        <s v="InterGen, GE Capital,  Tohoku Electric Power, and Marubeni" u="1"/>
        <s v="China Merchants Group partnered with Hastings Fund Management" u="1"/>
        <s v="ACWA Power, Harbin Power, and Dubai Electricity &amp; Water Authority" u="1"/>
        <s v="Mitsui Co, Chubu EP, Toshiba" u="1"/>
        <s v="TEŠ – Thermal Power Plant Šostanj" u="1"/>
        <s v="SAHIWAL POWER STATION -_x000d_CHINA-PAKISTAN ECONOMIC_x000d_CORRIDOR" u="1"/>
        <s v="TermoMaranhao Thermoelectric Power Plant Project" u="1"/>
        <s v="Huaneng Shandong Electricity and  Shandong Ruyi_x000a_Group" u="1"/>
        <s v="MHPS" u="1"/>
        <s v="Fortum CHP and E-Metering - Poland" u="1"/>
        <s v="SIHANOUKVILLE CEL" u="1"/>
        <s v="Pécem Thermoelectric Power Plant Project" u="1"/>
        <s v=" Adani Power Maharashtra" u="1"/>
        <s v="Tata Power Company Limited" u="1"/>
        <s v="Coal Power Generation Company" u="1"/>
        <s v="BANGKO TENGAH (SS-8)_x000d_POWER STATION (AKA_x000d_SOUTH SUMATRA 8) -_x000d_PHASE I" u="1"/>
        <s v="Core Infrastructure India Fund" u="1"/>
        <s v="Sendou Power Project" u="1"/>
        <s v="PT Megah Pratama Resources" u="1"/>
        <s v="Petroleo Brasileiro SA" u="1"/>
        <s v="Kelvin Holdings" u="1"/>
        <s v="_x000d_Caterpillar Inc. " u="1"/>
        <s v="Kazakhmys" u="1"/>
        <s v="Cambodia International_x000a_Investment Development_x000a_Group (CIIDG) and Leader Universal Holdings_x000a_Berhad" u="1"/>
        <s v="China Gezhouba Group Company" u="1"/>
        <s v="Vietnam Electricity Group (EVN)" u="1"/>
        <s v="ADIPALA POWER STATION_x000a_(AKA BUNTON POWER_x000a_STATION)" u="1"/>
        <s v="THAR SSRL POWER_x000a_STATION - CHINA-PAKISTAN_x000a_ECONOMIC CORRIDOR" u="1"/>
        <s v="THAR SSRL POWER_x000d_STATION - CHINA-PAKISTAN_x000d_ECONOMIC CORRIDOR" u="1"/>
        <s v="CORREDOR LOGISTICO INTEGRADO DE NACALA SA " u="1"/>
        <s v="Leighton Holdings" u="1"/>
        <s v="THAR ENGRO POWER_x000a_STATION - CHINA-PAKISTAN_x000a_ECONOMIC CORRIDOR" u="1"/>
        <s v="THAR ENGRO POWER_x000d_STATION - CHINA-PAKISTAN_x000d_ECONOMIC CORRIDOR" u="1"/>
        <s v="Nacala Port" u="1"/>
        <s v="BANJARSARI POWER_x000a_STATION" u="1"/>
        <s v="QUANG NINH POWER_x000a_STATION" u="1"/>
        <s v=" The Port Qasim Electric Power Company " u="1"/>
        <s v="Naftogaz " u="1"/>
        <s v="FAISALABAD FIEDMC_x000a_POWER STATION" u="1"/>
        <s v="FAISALABAD FIEDMC_x000d_POWER STATION" u="1"/>
        <s v="SUMSEL-5 POWER STATION_x000d_(AKA SUMATERA SELATAN-_x000d_5)" u="1"/>
        <s v="ENEL Energia Rinovabile &amp; Ambiante" u="1"/>
        <s v="Awaiting info from Dialogue site's author" u="1"/>
        <s v="PT Bhimasena Power Indonesia (BPI) - a joint venture set up by Indonesian coal miner PT Adaro Energy Tbk and Japan's Itochu Corp and Electric Power Development Co (J-Power)" u="1"/>
        <s v="Sindh" u="1"/>
        <s v="PPC Environment" u="1"/>
        <s v="Coastal Gujarat Power Limited" u="1"/>
        <s v="China Huadian Indonesia and PT Bukit Asam Tbk" u="1"/>
        <s v="THAR BLOCK VI POWER_x000a_STATION - CHINA-PAKISTAN_x000a_ECONOMIC CORRIDOR" u="1"/>
        <s v="THAR BLOCK VI POWER_x000d_STATION - CHINA-PAKISTAN_x000d_ECONOMIC CORRIDOR" u="1"/>
        <s v="Sindh Engro Coal Mining Company" u="1"/>
        <s v="Bucyrus International &amp; other U.S. vendors" u="1"/>
        <s v="SE Power Plant and Forest Industry R&amp;D" u="1"/>
        <s v="Vale" u="1"/>
        <s v=" InterGen" u="1"/>
        <s v="Tauron-South Poland CHP" u="1"/>
        <s v="Mongolian Mining Corporation" u="1"/>
        <s v="Danish FLSmidth" u="1"/>
        <s v=" OYAK and Evonik" u="1"/>
        <s v="China Railway Consortium Group Limited" u="1"/>
        <s v="China First Pty Ltd, a wholly owned subsidiary of Resourcehouse Limited" u="1"/>
        <s v="Houston Lignite LP" u="1"/>
        <s v="BANJARSARI POWER_x000d_STATION" u="1"/>
        <s v="QUANG NINH POWER_x000d_STATION" u="1"/>
        <s v="VINH TAN POWER STATION -_x000a_VĨNH TÂN-2" u="1"/>
        <s v="VINH TAN POWER STATION -_x000d_VĨNH TÂN-2" u="1"/>
        <s v="BANGKO TENGAH (SS-8)_x000a_POWER STATION (AKA_x000a_SOUTH SUMATRA 8) -_x000a_PHASE I" u="1"/>
        <s v="Tata Power Company Limited " u="1"/>
        <s v="Sumitomo Corp, Toshiba, IHI" u="1"/>
        <s v="Advanced Coal-Power Plant Duisburg-Walsum" u="1"/>
        <s v="STEAG Aktiengesellschaft, Germany    _x000d_ENV AG, Austria" u="1"/>
        <s v="Elektroprivreda BiH" u="1"/>
        <s v="Kumho Petrochemical" u="1"/>
        <s v="Paroseni Power Plant" u="1"/>
        <s v="Medupi Power Project" u="1"/>
        <s v="Perusahaan Listrik Negara (PLN)-Indonesia" u="1"/>
        <s v="Nalco Co" u="1"/>
        <s v="Unspecified =(262364472/0.748)" u="1"/>
        <s v="Nava Bharat Ventures and Zambian government" u="1"/>
        <s v="TGK-13" u="1"/>
        <s v="TABAS POWER PLANT" u="1"/>
        <s v="China Huadian Corporation " u="1"/>
        <s v="SUEK Siberian Coal Energy Company" u="1"/>
        <s v="TGK-14" u="1"/>
        <s v="Lanco Infratech" u="1"/>
        <s v="Unspecified " u="1"/>
        <s v=" _x000a_PT PLN (Persero)" u="1"/>
        <s v="ADIPALA POWER STATION_x000d_(AKA BUNTON POWER_x000d_STATION)" u="1"/>
        <s v="TGK-15" u="1"/>
        <s v="SAHIWAL POWER STATION -_x000a_CHINA-PAKISTAN ECONOMIC_x000a_CORRIDOR" u="1"/>
        <s v="Unknown" u="1"/>
        <s v="Aldwych Holdings" u="1"/>
        <s v="TES Thermal Power Plant" u="1"/>
        <s v=" HuDe GmbH, Erkelenz" u="1"/>
        <s v="TGK-16" u="1"/>
        <s v="InterGen" u="1"/>
        <s v="Hub Power Company" u="1"/>
        <s v="TGK-17" u="1"/>
      </sharedItems>
    </cacheField>
    <cacheField name="Project" numFmtId="0">
      <sharedItems containsBlank="1" count="453">
        <s v="ACWA Equity"/>
        <s v="Central Termoelectrica Andino (CTA)"/>
        <s v="Emergency Energy Assistance"/>
        <s v="Pécem Thermoelectric Power Plant Project"/>
        <s v="TermoMaranhao Thermoelectric Power Plant Project"/>
        <s v="Lanco Amarkantak Thermal Power Station"/>
        <s v="Masinloc Power Partners Co Ltd"/>
        <s v="Morupule B Power Project "/>
        <s v="Medupi Power Project"/>
        <s v="Sendou Power Project"/>
        <s v="MN-Mining Infrastructure Investment Supp"/>
        <s v="Mundra UMPP"/>
        <s v="PT Makmur Sejahtera Wisesa"/>
        <s v="SN- Second Governance and Growth Support Credit (including Sendou coal power plant)"/>
        <s v="Stora Enso  (Stora China III)"/>
        <s v="Partial risk guarantee for coal-to-power investment in Nigeria"/>
        <s v="Support for Eskom Capacity Expansion Program"/>
        <s v="Additional Financing for the Mineral Resources Governance Project"/>
        <s v="Clean-up &amp; Land Reclamation Project (Additional Financing)"/>
        <s v="Coal Fired Generation Rehabilitation Project"/>
        <s v="Electrotherm"/>
        <s v="Fifth Power System Development Project"/>
        <s v="Himadri"/>
        <s v="Indonesia Infrastructure Guarantee Fund Project"/>
        <s v="LPTAP Additional Financing 1"/>
        <s v="Medupi Power Project [Eskom Investment Support Project - coal plant]"/>
        <s v="Ninth Poverty Reduction Support Credit (PRSC 9)"/>
        <s v="Oyu Tolgoi Power Plant "/>
        <s v="PIBT"/>
        <s v="Power Sector Reform: Development Policy Credit"/>
        <s v="Private Sector Competitiveness Tajikistan"/>
        <s v="Second Development Policy Loan (DPL II)"/>
        <s v="Coal to Cleaner Fuel Conversion for Heating in Ger District and Power Generation"/>
        <s v="AES Sogrinsk CHP"/>
        <s v="Coal Energy"/>
        <s v="Jamshoro Power Generation Project - Stage 1"/>
        <s v="Khulna IPP"/>
        <s v="Masinloc: Acquisition and Rehabilitation of the Masinloc Coal-Fired Thermal Power Plant"/>
        <s v="Mong Duong 1 Thermal Power Project - Tranche 1"/>
        <s v="Not identified"/>
        <s v="EPS Restructuring"/>
        <s v="Mong Duong 1 Thermal Power Project - Tranche 2"/>
        <s v="Privatization and Refurbishment of the Calaca Coal-Fired Thermal Plant Project"/>
        <s v="Anglo Coal Australia"/>
        <s v="Mongolian Gold MAK"/>
        <s v="Recycling Waste Coal for Power Generation"/>
        <s v="OGK-5 Equity Coal Portion"/>
        <s v="Ukhaa Khudag coal mine"/>
        <s v="Oltenia-Turceni Rehabilitation"/>
        <s v="Patnow II Refinancing: Konin Biomass"/>
        <s v="Pavlodar Energo"/>
        <s v="Small-scale Technical Assistance for Capacity Strengthening in Planning and Implementation of Integrated Gasification Combined Cycle Plant"/>
        <s v="Šoštanj Thermal Power Plant"/>
        <s v="Xstrata Coal Queensland"/>
        <s v="VISAYAS BASE-LOAD POWER PROJECT"/>
        <s v="TGK-13 Capacity Financing "/>
        <s v="Energy Resources Phase II"/>
        <s v="EPS Kolubara Environmental Improvement"/>
        <s v="Leighton Mongolia"/>
        <s v="Tianjin Integrated Gasification Combined Cycle Power Plant Project"/>
        <s v="Mongolia Mining Corporation (f. Energy Resources)"/>
        <s v="NRW Holdings Ltd"/>
        <s v="Sadovaya Coal Recycling"/>
        <s v="Saturn (coal component)"/>
        <s v="Wiggins Island Coal Export Terminal"/>
        <s v="Newcastle Coal Infrastructure Group Coal Export Terminal Expansion"/>
        <s v="Australia Pacific LNG Project​ (from a coal seam)"/>
        <s v="Mahan Aluminum Smelter​"/>
        <s v="Post-conflict Reconstruction and Recovery Grant (PCRRG)"/>
        <s v="Rembang Power Plant"/>
        <s v="Indramayu Coal-fired Power Plant"/>
        <s v="Paiton Power Plant"/>
        <s v="ADIPALA POWER STATION_x000a_(AKA BUNTON POWER_x000a_STATION)"/>
        <s v="GNPower Mariveles Coal-Fired Plant"/>
        <s v="CLP Jhajjar Power Plant"/>
        <s v="Sasan UMPP"/>
        <s v="Coal-fired power equipment"/>
        <s v="Duyen Hai 3 (1245MW)"/>
        <s v="En+ Group and Shenhua Group coal mining and exploration"/>
        <s v="Vung Ang 1"/>
        <s v="Stanari 300 MW Thermal Power Plant"/>
        <s v="TELUK SIRIH POWER_x000a_STATION"/>
        <s v=" _x000a_PT Bumi Resources"/>
        <s v="Cilacap coal-fired power plant"/>
        <s v="Tiroda Power Plant - Gondia - Additional Facility"/>
        <s v="SUMSEL-5 POWER STATION_x000a_(AKA SUMATERA SELATAN-_x000a_5)"/>
        <s v="Anpara II and Himawat"/>
        <s v="Vietnam Thai Binh 2 Coal Power Plant"/>
        <s v="Vinh Tan 1 Coal-Fired Thermal Power Plant (1200MW)"/>
        <s v="Kendari-3"/>
        <s v="Celukan Bawang"/>
        <s v="Pedras Altas power station"/>
        <s v="Norochcholai"/>
        <s v="Suralaya Unit 8 power plant"/>
        <s v="Raj Westpower power plant"/>
        <s v="Pelapuhan Ratu Power Plant"/>
        <s v="Aceh Power Plant"/>
        <s v="Vinh Tan 2"/>
        <s v="QUANG NINH POWER_x000a_STATION"/>
        <s v="Summit IGCC Plant Odessa Texas"/>
        <s v="Kostolac B2 (retrofit), Kostolac B3 (new), and expansion of Drmno mine"/>
        <s v="Vietnam coal-fired power project"/>
        <s v="Upgrade Atyaru Refinery"/>
        <s v="TABAS POWER PLANT"/>
        <s v="Kostolac B3"/>
        <s v="Sepco III"/>
        <s v="JERADA - EXTENSION"/>
        <s v="Bishkek CHP power station (300MW)"/>
        <s v="Pangkalan Susu Units 1 and 2 Coal Power Plant (400MW)"/>
        <s v="Takalar Steam Coal Power Plant"/>
        <s v="Angren thermal power plant modernization"/>
        <s v="Hai Duong Coal-Fired Power Plant"/>
        <s v="Hwange Power Station Expansion"/>
        <s v="Tanjung Enim Coal-Fired Mine-Mouth Power Plant"/>
        <s v="Maamba Coal-Fired Power Plant Phase I (300MW)"/>
        <s v="Advanced Coal-Power Plant Duisburg-Walsum"/>
        <s v="ENEL Energia Rinovabile &amp; Ambiante"/>
        <s v="Fortum CHP and E-Metering - Poland"/>
        <s v="Paroseni Power Plant"/>
        <s v="Power plant Karlsruhe"/>
        <s v="PPC Environment"/>
        <s v="Medupi coal-fired power plant"/>
        <s v="SE Power Plant and Forest Industry R&amp;D"/>
        <s v="Tauron-South Poland CHP"/>
        <s v="TEŠ – Thermal Power Plant Šostanj"/>
        <s v="TES Thermal Power Plant"/>
        <s v="Kusile coal-fired power plant - design, manufacture, delivery and installation of six subsets of the turbine"/>
        <s v="Kusile coal-fired power plant, guarantee to cover a loan used for the control and instrumentation contract supplied by Alstom"/>
        <s v="Coal processing: coal grinding plant"/>
        <s v="Coalmining machinery: folding shovel excavator"/>
        <s v="Coal processing: coke oven machine including services"/>
        <s v="ICICI Bank -Equipment and Services for Coal-Mining Project"/>
        <s v="Brod Gneotino Lignite Mine"/>
        <s v="Coal-Fired Power Plant"/>
        <s v="Pathadi Coal-fired Power Plant"/>
        <s v="Krishnapatnam Power Plant"/>
        <s v="Angamos"/>
        <s v="Overburden conveying system for an open pit coal mine"/>
        <s v="Medupi Coal Fired Power Station"/>
        <s v="Glow Suez Power Plant"/>
        <s v="Supply of a coal handling system"/>
        <s v="Dalrymple Bay Coal Terminal"/>
        <s v="Eren Enerji"/>
        <s v="Medupi coal fired power "/>
        <s v="Modernisation of Six Israeli Coal-fired Power Plants w/ flue gas denitrification"/>
        <s v="Longwall systems for underground coal mining"/>
        <s v="Nikola Tesla A Power Plant"/>
        <s v="Kusile Coal-Power Plant"/>
        <s v="Newcastle Coal Harbor"/>
        <s v="Mannheim Block 9 CHP Coal-Fired Expansion"/>
        <s v="Mahistriky Carbon and Coal Tar Processing Plant"/>
        <s v="Measures to boost the efficiency of a coal-fired power plant"/>
        <s v="Oyu Tolgoi gold and copper mine (w/ coal power plant)"/>
        <s v="Wiggins Island Coal Harbor"/>
        <s v="Longwall system for underground mining and coal processing plant with transportation system"/>
        <s v="Orot Rabin Power Plant Retrofit"/>
        <s v="Barh Super Thermal Power Station (Stage II) (supercritical)"/>
        <s v="Bihar Coal-Fired Power Plant Expansion"/>
        <s v="Ore &amp; Mineral Mining and Sales"/>
        <s v="Efficient Coal Quality Management in MB Kolubara"/>
        <s v="Coal-fired power plants: steam generator plant and turbine unit"/>
        <s v="Coal-fired power plants: power plant units"/>
        <s v="Coal-fired power plants: steam turbines/generators for a coal-fired power plant"/>
        <s v="Coalmining machinery: crushers, conveyors, spreaders, installation engineering"/>
        <s v="Coal-fired power plants:  modernisation of coal mixing storage bays"/>
        <s v="Coalmining machinery: equipment for mining coal"/>
        <s v="Coal processing: equipment for manufacturing briquettes"/>
        <s v="Coal-fired power plants: ball track incl. fixtures"/>
        <s v="Plants for the mining of coal"/>
        <s v="Modernisation of Israeli coal-fired power plants"/>
        <s v="Renovation &amp; Retrofitting of Electro Static Precipitators"/>
        <s v="Mining of Coal"/>
        <s v="Mouda Thermal Power Plant in Maharashtra"/>
        <s v="Coking plants: coke oven machines including spare parts"/>
        <s v="Coal-fired power plants:  steam generators in units of the Bitola power plant"/>
        <s v="Construction of a new district heating system in Linxia"/>
        <s v="Modernisation of a district heating system in Jinzhong "/>
        <s v="Energy Sector Programme III (district heating)"/>
        <s v="Coalmining machinery: conversion of the air cooling system"/>
        <s v="Coalmining machinery: roller loader including additional equipment"/>
        <s v="Coal-fired power plants: sprocket plus fixtures"/>
        <s v="Kudgi Super Thermal Power Project"/>
        <s v="Coke oven"/>
        <s v="NRE No 1 Colliery and NRE Wongawilli Colliery Expansion"/>
        <s v="Kaltim Prima Coal and PT Arutmin Mine Expansion Financing"/>
        <s v="Gujarat NRE Cokin Coal Mine Capex facility 2013"/>
        <s v="IndonesiaInfrastructure Guarantee Fund Project"/>
        <s v="Petacalco Power Station: ashes extraction and transportation system relating to the boilers"/>
        <s v="Gladstone LNG project (from coal seam)"/>
        <s v="Floating Transfer Stations for Transshipping Coal from East Kalimantan Mines"/>
        <s v="Punta Catalina_x000a_Implementation of a 752_x000a_MW (376 MW x 2 unit)_x000a_coal-fired thermal power_x000a_plant_x000a_"/>
        <s v="Vinh Tan 3 Thermal Power Generation Project Consulting Services"/>
        <s v="Buyer’s Credit Insurance related to Power-generating Equipment Export to Eskom"/>
        <s v="Buyer's Credit for Coal Mining Company for purchasing coal mining equipment from Komatsu"/>
        <s v="Hai Phong Thermal Power Plant"/>
        <s v="Nghi Son Thermal Power Plant (I)"/>
        <s v="Indonesia/Buyer's Credit Insurance related to Mining Equipment Export Project"/>
        <s v="Hai Phong 2 Coal Fired Power Plant"/>
        <s v="Portfolio Acquisition of Existing Coal-fired Power Plants"/>
        <s v="Barh Coal-Fired Power Plant 1980MW"/>
        <s v="Northern Grid Transmission Projects"/>
        <s v="Tanjung Jati B"/>
        <s v="Tanjung Jati B Power Plant"/>
        <s v="Loans for the Manufacturing and Sales of Thermal Power Generation Facilities"/>
        <s v="Binh Thuan Supercritical Coal-fired Power Plant"/>
        <s v="Loan for Manufacturing and Sales of Thermal Power Generation Facilities"/>
        <s v="Japan-CFE 2010/11 line of credit involving coal-fired plant"/>
        <s v="Paiton 3 Thermal Power Plant Expansion Project"/>
        <s v="Cirebon Thermal Power Plant Project"/>
        <s v="Pacifico Coal Power Plant"/>
        <s v="Quang Ninh Coal Mines Development"/>
        <s v="Vietnam Coal Mine Investment"/>
        <s v="Java-Sumatra Interconnection Transmission Line Project (1)"/>
        <s v="Jaypee Nigrie Super Thermal Power Project"/>
        <s v="Nghi Son Thermal Power Plant Construction Project (II)"/>
        <s v="Policy Reform to Promote Infrastructure Investment (partial)"/>
        <s v="Rajpura Coal-fired Power Project 1400MW"/>
        <s v="Nghi Son Thermal Power Plant Construction Project (III)"/>
        <s v="The Flue Gas Desulphurization Construction Project for Thermal Power Plant Nikola Tesla"/>
        <s v="Rajpura Thermal Power Project 1400MW"/>
        <s v="Japan-CFE unidentified supply to existing caol-fired power plant"/>
        <s v="Kestrel Coal Mine Development"/>
        <s v="Acquiring Interest in Colombia's Coal Mines"/>
        <s v="Grande Cache Coal Mine"/>
        <s v="Jorf Lasfar Coal-fired Power Plant"/>
        <s v="Jorf Lasfar Energy Company 5 &amp; 6 Coal Power Plant"/>
        <s v="Russia/SUEK Coal Mine and Port Expansion Project"/>
        <s v="Byerwen Coal Project"/>
        <s v="Peace River Coal field"/>
        <s v="Isaac Plains Coal Mine"/>
        <s v="Acquiring Coal Interest Project "/>
        <s v="Mundra UMPP 4000MW"/>
        <s v="Caval Ridge Coal Mine Development Project"/>
        <s v="Indramayu Coal Fired Power Plant Project"/>
        <s v="Cochrane Coal-fired Power Project"/>
        <s v="Boggabri Coal Mine Expansion Project"/>
        <s v="Thai Binh 2"/>
        <s v="Yakutugol coal mine -Electric Mining Shovel"/>
        <s v="Kudgi Super Thermal Power Project (2400MW)"/>
        <s v="Matarbari Ultra Super Critical Coal-Fired Power Project"/>
        <s v="Meja Urja Nigam Private Limited (MUNPL)"/>
        <s v="Meja Supercritical Coal-fired Power Plant"/>
        <s v="Safi Coal Fired Power Generation Project"/>
        <s v="Safi Ultra Supercritical Coal-fired Power Plant"/>
        <s v="Thai Binh Power Plant and Transmission Lines (II)"/>
        <s v="Duyen Hai Plant"/>
        <s v="Thai Binh Thermal Power Plant and Transmission Lines Construction Project (III)"/>
        <s v="Chittagong Main Power Grid Strengthening Project_x000a_Dhaka-Chittagong Main Power Grid Strengthening Project"/>
        <s v="Java-Sumatra Interconnection Transmission Line Project (II)"/>
        <s v="Ulaanbaatar Thermal Power Plant No. 4 Project"/>
        <s v="Elga Coal Complex"/>
        <s v="Song hau 1 Project"/>
        <s v="Nueva Ventanas"/>
        <s v="Shanxi Generation/Coal Mine Project"/>
        <s v="Acquisition of Skoda Power"/>
        <s v="Naga Power Plant"/>
        <s v="Cirebon Thermal Power Plant Project Expansion"/>
        <s v="Mong Duong 2 Coal-fired Power Plant"/>
        <s v="Mong Duong 1 Thermal Power Plant Project"/>
        <s v="Mong Duong 2 Coal Plant"/>
        <s v="Cochrane Power Plant"/>
        <s v="Jorf Lasfar Thermal Power Plant Construction Project "/>
        <s v="Tufanbeyli Mine and Power Plant Development"/>
        <s v="Thai Binh 2 Coal Power Plant"/>
        <s v="Vinh Tan 4 Coal-Fired Power Plant Project"/>
        <s v="Canakkale Thermal Power Plant (330MW)"/>
        <s v="Lower Wilgat Coal Mine Refinancing"/>
        <s v="International Power Hazelwood Refinancing"/>
        <s v="Siberian Coal &amp; Energy Co"/>
        <s v="Mahan Aluminium Complex"/>
        <s v="Southern Kuzbass Coal Co OAO"/>
        <s v="Siberian Coal &amp; Energy Co mining equipment for Sibirginskaya and Olzeraskaya coal mines"/>
        <s v="CDHI Letter of Credit "/>
        <s v="Arch Coal Corporate Facility"/>
        <s v="Drax Power Station"/>
        <s v="Ratch Australia Refinancing 2013"/>
        <s v="SUEK Corporate Facility Refinancing"/>
        <s v="BHP Billiton Refinancing"/>
        <s v="Sangatta Surface Coal Mine in Indonesia"/>
        <s v="Kusile Power Plant"/>
        <s v="COAL MINING SERVICES - MINING EQUIPMENT"/>
        <s v="Australia Pacific LNG from coal mines"/>
        <s v="CHERNIGOVETS SURFACE COAL MINES - Electric Shovel"/>
        <s v="Queensland Curtis Island LNG project from coal mine"/>
        <s v="Quang Ninh Thermal Power_x000a_Joint Stock Company" u="1"/>
        <s v="Quang Ninh Thermal Power_x000d_Joint Stock Company" u="1"/>
        <s v="PT Bukit Asam, PLN, and_x000a_MAXpower Group (joint_x000a_venture)" u="1"/>
        <m u="1"/>
        <s v="Germany" u="1"/>
        <s v="China First Coal" u="1"/>
        <s v="Lanco Amarkantak Thermal Power Station 600MW" u="1"/>
        <s v="Steel Authority of India Limited" u="1"/>
        <s v="Carbon III Power Plant" u="1"/>
        <s v="Ukraine Coal Gasification" u="1"/>
        <s v="Hassyan Coal‐Fired Power Plant Phase 2" u="1"/>
        <s v="Equipment for coal mining: Extension of Strebbausystems for_x000a_Narrabri mine_x000a_" u="1"/>
        <s v="Lontar (Banten)" u="1"/>
        <s v="Coal plants: ball track, including accessories." u="1"/>
        <s v="Thar Coal Mining and Power Plant" u="1"/>
        <s v="Nikola Tesla A Power Plant (environmental measure: modernisation of an ash disposal system)" u="1"/>
        <s v="TELUK SIRIH POWER_x000d_STATION" u="1"/>
        <s v="Coal plants: control system and field instrumentation" u="1"/>
        <s v="Efficiency and environmental measures in the Mongolian power plant fleet" u="1"/>
        <s v="LS Power Sandy Creek Power Plant Refinancing" u="1"/>
        <s v="Yunus Emre power station" u="1"/>
        <s v="Huaneng Shandong Electricity and  Shandong Ruyi_x000a_Group" u="1"/>
        <s v="Equipment for coal extraction: folding shovel" u="1"/>
        <s v="Coking plants: coke oven including spare parts." u="1"/>
        <s v="Millmerran coal-fired power plant refinancing 2015" u="1"/>
        <s v="PT PLN" u="1"/>
        <s v="Botswana" u="1"/>
        <s v="Newcastle coal port" u="1"/>
        <s v="Port Quasim Port Power Station" u="1"/>
        <s v="Nuevitas Block VI modernisation" u="1"/>
        <s v="30GW of coal-fired power equipment" u="1"/>
        <s v="Coal plants: steam turbines / generators for a coal power plant" u="1"/>
        <s v="Construction of a new district heating system (Energy Efficiency and Renewables Programme – Phase IV)" u="1"/>
        <s v="Duyen Hai 3" u="1"/>
        <s v="Lanco Infratech Ltd" u="1"/>
        <s v="BHOGNIPUR POWER_x000a_STATION" u="1"/>
        <s v="Iran Power Development_x000d_Company" u="1"/>
        <s v="Rajpura Coal-fired Power Project" u="1"/>
        <s v="Equipment for coal mining: equipment to mine coal" u="1"/>
        <s v="Italy" u="1"/>
        <s v="TEST LINE" u="1"/>
        <s v="Arabian Cement Company" u="1"/>
        <s v="Pangkalan Susu Steam Coal Power Plant" u="1"/>
        <s v="Equipment for coal mining: Crawler Loaders Guided" u="1"/>
        <s v="Coal plants: steam generator unit and turbine plant" u="1"/>
        <s v="South Africa" u="1"/>
        <s v="Loan for Srei’s infrastructure project finance &amp; equipment financing business" u="1"/>
        <s v="Barh Coal-Fired Power Plant" u="1"/>
        <s v="BOSS/PB Project" u="1"/>
        <s v="Sasan Power Plant UMPP" u="1"/>
        <s v="Kumho Yeosu Terminal Refinancing" u="1"/>
        <s v="Teluk Naga Power Plant" u="1"/>
        <s v="Tuzla 7" u="1"/>
        <s v="Cambodia International_x000a_Investment Development_x000a_Group (CIIDG) and Leader Universal Holdings_x000a_Berhad" u="1"/>
        <s v="SIHANOUKVILLE CEL " u="1"/>
        <s v="TIRODA THERMAL POWER_x000a_PLANT" u="1"/>
        <s v="Mongolian Mining Corporate Refinancing 2014" u="1"/>
        <s v="Romania" u="1"/>
        <s v="Bishkek CHP power station" u="1"/>
        <s v="Sinar Mas Group" u="1"/>
        <s v="Leighton Holdings" u="1"/>
        <s v="Oracle_x000a_Coalfields Plc and SEPCO" u="1"/>
        <s v="Oracle_x000d_Coalfields Plc and SEPCO" u="1"/>
        <s v=" _x000a_Worsley Co-Generation Plant Refinancing 2014" u="1"/>
        <s v="Millmerran Coal-fired Power Plant Refinancing 2012" u="1"/>
        <s v="HUBCO POWER STATION -_x000d_CHINA-PAKISTAN ECONOMIC_x000d_CORRIDOR" u="1"/>
        <s v="Equipment for coal mining: Hydraulic control for shields" u="1"/>
        <s v="玻雅 Power Plant" u="1"/>
        <s v="BANJARSARI POWER_x000a_STATION" u="1"/>
        <s v="SUEK Corporate Facility Refinancing 2016" u="1"/>
        <s v="Wiggins Island Coal Export Terminal (Stage 1)" u="1"/>
        <s v="Equipment for coal mining. Shearers including additional equipment" u="1"/>
        <s v="Rajpura Thermal Power Project" u="1"/>
        <s v="Expansion of Lontar Coal-Fired Power Plant" u="1"/>
        <s v="PT Bukit Asam, PLN, and_x000d_MAXpower Group (joint_x000d_venture)" u="1"/>
        <s v="Ekibastuz Power Plant Acquisition 2008" u="1"/>
        <s v="Huaneng Shandong Electricity and  Shandong Ruyi_x000d_Group" u="1"/>
        <s v="Slovenia" u="1"/>
        <s v="Units 3 &amp; 4 of Lanco Amarkantak Thermal Power Project;_x000a_Babandh power station;_x000a_Vidarbha thermal power station " u="1"/>
        <s v="Units 3 &amp; 4 of Lanco Amarkantak Thermal Power Project;_x000d_Babandh power station;_x000d_Vidarbha thermal power station " u="1"/>
        <s v="ZETES-1 Coal-Fired Power Station" u="1"/>
        <s v="Coal power plants: power plant units" u="1"/>
        <s v="Presidente Médici Candiota power station" u="1"/>
        <s v="Equipment for coal mining: shearer inkl.Zusatzausrüstung" u="1"/>
        <s v="Houston Lignite Refinancing" u="1"/>
        <s v="Mundra Ultra Mega Power Project" u="1"/>
        <s v="Ptolemaida V Coal-fired Power Plant" u="1"/>
        <s v="Punta Catalina_x000d_Implementation of a 752_x000d_MW (376 MW x 2 unit)_x000d_coal-fired thermal power_x000d_plant_x000d_" u="1"/>
        <s v="Tiroda Thermal Power Project" u="1"/>
        <s v="Greece" u="1"/>
        <s v="Unspecified" u="1"/>
        <s v="Coal: sprocket including accessories." u="1"/>
        <s v="Gondia Coal-Fired Project Additional Facility" u="1"/>
        <s v="Gondia Coal-Fired Project" u="1"/>
        <s v="MAAMBA MINE POWER_x000a_STATION" u="1"/>
        <s v="Thar Power Company" u="1"/>
        <s v="China Power International" u="1"/>
        <s v="Iran Power Development_x000a_Company" u="1"/>
        <s v="Vinh Tan 4 Coal-Fired Thermal Power Plant (1200MW)" u="1"/>
        <s v="Co-Investment in Aldwych Holdings" u="1"/>
        <s v="China Huadian Indonesia and PT Bukit Asam Tbk" u="1"/>
        <s v="Coal processing: Equipment for the production of coke briquettes" u="1"/>
        <s v="Suralaya Power Plant (environmental measure: deployment of modern environmental protection technologies for waste gas purification, and rehabilitation of generators, turbines and boilers)" u="1"/>
        <s v="Senegal" u="1"/>
        <s v="MAAMBA MINE POWER_x000d_STATION" u="1"/>
        <s v="Brazil" u="1"/>
        <s v="Shandong Ruyi Technology_x000a_Group" u="1"/>
        <s v="Coal: modernization of coal mixed storage bins" u="1"/>
        <s v="Equipment for coal mining: Breaking In, Stacker, portal scraper," u="1"/>
        <s v="Poland" u="1"/>
        <s v="Nacala Rail and Port Project" u="1"/>
        <s v="Seydisehir Coal-Fired Station" u="1"/>
        <s v="Ptolemais V lignite power plant" u="1"/>
        <s v="Tata Ultra Mega Coal plant" u="1"/>
        <s v="Morupule" u="1"/>
        <s v="Hassyan Coal‐Fired Power Plant Phase 1" u="1"/>
        <s v="Equipment for coal mining: crushing plants, conveyor systems, stacker, plant engineering" u="1"/>
        <s v="Coal processing. Coke oven including services" u="1"/>
        <s v="Equipment for coal mining: Stamp and check valves" u="1"/>
        <s v="Coal-fired power plant in the North Sumatra Province" u="1"/>
        <s v="Equipment for coal mining: Extension of Strebbausystems for Narrabri mine" u="1"/>
        <s v="Coal Processing: Technological equipment" u="1"/>
        <s v="Coal power plants: steam turbines and generators" u="1"/>
        <s v="VINH TAN POWER STATION -_x000a_VĨNH TÂN-2" u="1"/>
        <s v="BANGKO TENGAH (SS-8)_x000a_POWER STATION (AKA_x000a_SOUTH SUMATRA 8) -_x000a_PHASE I" u="1"/>
        <s v="Darlipali" u="1"/>
        <s v="Nacala Corridor" u="1"/>
        <s v="Sumsel-5 and Kendari-3" u="1"/>
        <s v="Thar Coal Block II Mine" u="1"/>
        <s v="Tanjung Awar-Awar Power Plant" u="1"/>
        <s v="Shandong Ruyi Technology_x000d_Group" u="1"/>
        <s v=" _x000a_Lontar Extension Coal Fired Steam Power Plant" u="1"/>
        <s v="Batan" u="1"/>
        <s v="Coal power plant" u="1"/>
        <s v="Matarbari Coal Fired Power Plant" u="1"/>
        <s v="Unit 5 of Presidente Médici Candiota power station" u="1"/>
        <s v="Batang" u="1"/>
        <s v="Kelvin Coal-fired Power Plant" u="1"/>
        <s v="Kalimantan Railway for Coal Transportation" u="1"/>
        <s v="Coal plants: mixer for ash conditioning including benefits." u="1"/>
        <s v="CLP Jhajjar Power" u="1"/>
        <s v="Electrotherm 30MW" u="1"/>
        <s v="Mao Khe Thermal Power Plant" u="1"/>
        <s v="Coal plants: core components for flue gas cleaning plant of Power plant Aghios Dimitrios" u="1"/>
        <s v="AYAS Coal-Fired Power Plant" u="1"/>
        <s v="Coal: Bitola power plant Bitola" u="1"/>
        <s v="Cambodia International_x000d_Investment Development_x000d_Group (CIIDG) and Leader Universal Holdings_x000d_Berhad" u="1"/>
        <s v="2015 Projects" u="1"/>
        <s v="Track 3B (Jimah)" u="1"/>
        <s v="Kamwamba Power Station-Phase I" u="1"/>
        <s v="Vinh Tan 1 Coal-Fired Thermal Power Plant" u="1"/>
        <s v="2015 Power Plant Projects" u="1"/>
        <s v="Tanda" u="1"/>
        <s v="BHOGNIPUR POWER_x000d_STATION" u="1"/>
        <s v="Coal plants: Tubes for boiler equipment" u="1"/>
        <s v="Mongolian Mining Corporation Refinancing" u="1"/>
        <s v="Aragen for coal mining: reconstruction of the weather cooling system" u="1"/>
        <s v="Thar Coal Power Plant Phase I" u="1"/>
        <s v="Thar Coal Power Plant (Phase 1)" u="1"/>
        <s v="Thai Binh Power Plant and Transmission Lines " u="1"/>
        <s v="TIRODA THERMAL POWER_x000d_PLANT" u="1"/>
        <s v="SAHIWAL POWER STATION -_x000a_CHINA-PAKISTAN ECONOMIC_x000a_CORRIDOR" u="1"/>
        <s v="Amasra B Coal Mine Projec" u="1"/>
        <s v="Nacala Port Development Project Phase II" u="1"/>
        <s v="HUBCO POWER STATION -_x000a_CHINA-PAKISTAN ECONOMIC_x000a_CORRIDOR" u="1"/>
        <s v="Japan" u="1"/>
        <s v="Electricity of Vietnam" u="1"/>
        <s v="Thar Coal Block II Mine Phase I" u="1"/>
        <s v="Coal plants: core components for flue gas cleaning plant of" u="1"/>
      </sharedItems>
    </cacheField>
    <cacheField name="Project URL" numFmtId="0">
      <sharedItems containsBlank="1" longText="1"/>
    </cacheField>
    <cacheField name="Recipient" numFmtId="0">
      <sharedItems containsBlank="1" count="81">
        <s v="MENA Region"/>
        <s v="Chile"/>
        <s v="Kyrgyz Republic"/>
        <s v="Brazil"/>
        <s v="India"/>
        <s v="Philippines"/>
        <s v="Botswana"/>
        <s v="South Africa"/>
        <s v="Senegal"/>
        <s v="Mongolia"/>
        <s v="Indonesia "/>
        <s v="China"/>
        <s v="Nigeria"/>
        <s v="Madagascar"/>
        <s v="Kosovo"/>
        <s v="India "/>
        <s v="Indonesia"/>
        <s v="Kosovo "/>
        <s v="Mozambique"/>
        <s v="Pakistan"/>
        <s v="Tajikistan"/>
        <s v="Ukraine"/>
        <s v="Kazakhstan"/>
        <s v="Bangladesh"/>
        <s v="Vietnam"/>
        <s v="Not identified"/>
        <s v="Serbia"/>
        <s v="Global"/>
        <s v="Russia"/>
        <s v="Romania"/>
        <s v="Poland"/>
        <s v="Slovenia"/>
        <s v="Global "/>
        <s v="Australia"/>
        <s v="Cote d'Ivoire"/>
        <s v="Bosnia and Herzegovina"/>
        <s v="Sri Lanka"/>
        <s v="United States"/>
        <s v="Iran"/>
        <s v="Morocco"/>
        <s v="Uzbekistan"/>
        <s v="Zimbabwe"/>
        <s v="Zambia"/>
        <s v="Germany"/>
        <s v="Italy"/>
        <s v="Greece"/>
        <s v="Egypt"/>
        <s v="Turkey"/>
        <s v="Macedonia"/>
        <s v="Thailand"/>
        <s v="Israel"/>
        <s v="The Netherlands"/>
        <s v="South Korea"/>
        <s v="Mexico"/>
        <s v="Dominican Republic"/>
        <s v="Colombia"/>
        <s v="Canada"/>
        <s v="Czech Republic"/>
        <s v="United Kingdom"/>
        <m u="1"/>
        <s v="Sub-Saharan Africa" u="1"/>
        <s v="Cuba" u="1"/>
        <s v="US (coal export)" u="1"/>
        <s v="MENA  Region" u="1"/>
        <s v="US" u="1"/>
        <s v="Dubai" u="1"/>
        <s v="Malaysia" u="1"/>
        <s v="Bosnia &amp; Herzegovina" u="1"/>
        <s v="Russian Federation" u="1"/>
        <s v="Korea" u="1"/>
        <s v="Unspecified" u="1"/>
        <s v="Columbia" u="1"/>
        <s v="Mozambique, Malawi" u="1"/>
        <s v="Croatia" u="1"/>
        <s v="Malawi" u="1"/>
        <s v="Israël" u="1"/>
        <s v="Cambodia" u="1"/>
        <s v="Coal Power Plant Emissions Control" u="1"/>
        <s v="Unknown" u="1"/>
        <s v="Coal Power Plant-New" u="1"/>
        <s v="Viet Nam" u="1"/>
      </sharedItems>
    </cacheField>
    <cacheField name="Sector Group" numFmtId="0">
      <sharedItems containsBlank="1" count="10">
        <s v="Coal Power Plant"/>
        <s v="Coal Mining"/>
        <s v="Other/Unspecified"/>
        <s v="T&amp;D"/>
        <s v="Coal Power Plant Emissions Control"/>
        <m u="1"/>
        <s v="Coal power plant - new " u="1"/>
        <s v="Coal - T&amp;D" u="1"/>
        <s v="Coal - other" u="1"/>
        <s v="Coal power plant - expansion" u="1"/>
      </sharedItems>
    </cacheField>
    <cacheField name="Sector" numFmtId="0">
      <sharedItems containsMixedTypes="1" containsNumber="1" minValue="0" maxValue="1310" count="41">
        <s v="Coal Power Plant - New"/>
        <s v="Coal Power Plant - Existing"/>
        <s v="Coal Mining"/>
        <s v="Other"/>
        <s v="Coal - Policy"/>
        <s v="Coal Mining - Cleanup"/>
        <s v="Coal - T &amp; D"/>
        <s v="Coal Mining - Imports"/>
        <s v="Coal Mining "/>
        <s v="Other/Unspecified"/>
        <s v="Coal - mining"/>
        <s v="Coal power plant - new "/>
        <s v="Coal Power Plant - Existing and New"/>
        <s v="Coal power plant - expansion"/>
        <s v="Coal Power Plant - Emissions Control"/>
        <s v="Unspecified"/>
        <s v="Coal - Transport"/>
        <s v="Coal - Processing"/>
        <s v="Coal Power Plant"/>
        <s v="Coal - Heating"/>
        <s v="Coal Mining - New"/>
        <s v="Coal Mining - Expansion"/>
        <s v="Coal Mining - LNG from coal seam"/>
        <s v="T&amp;D"/>
        <s v="Coal Mining - Existing"/>
        <s v="Coal Power Plant and Mining - Existing"/>
        <n v="0" u="1"/>
        <n v="17.857142857142858" u="1"/>
        <n v="85.714285714285708" u="1"/>
        <n v="685.71428571428567" u="1"/>
        <n v="1310" u="1"/>
        <n v="102.85714285714286" u="1"/>
        <n v="61.333333333333336" u="1"/>
        <n v="52" u="1"/>
        <n v="533.33333333333337" u="1"/>
        <n v="88.333333333333329" u="1"/>
        <n v="51.428571428571431" u="1"/>
        <n v="250" u="1"/>
        <n v="240" u="1"/>
        <n v="67" u="1"/>
        <n v="340" u="1"/>
      </sharedItems>
      <fieldGroup par="20"/>
    </cacheField>
    <cacheField name="Approval Date" numFmtId="0">
      <sharedItems containsSemiMixedTypes="0" containsNonDate="0" containsDate="1" containsString="0" minDate="2007-01-01T00:00:00" maxDate="2015-12-22T00:00:00" count="223">
        <d v="2014-05-01T00:00:00"/>
        <d v="2008-03-13T00:00:00"/>
        <d v="2008-11-25T00:00:00"/>
        <d v="2009-03-20T00:00:00"/>
        <d v="2007-06-01T00:00:00"/>
        <d v="2007-11-08T00:00:00"/>
        <d v="2009-10-28T00:00:00"/>
        <d v="2009-11-25T00:00:00"/>
        <d v="2011-05-10T00:00:00"/>
        <d v="2008-04-24T00:00:00"/>
        <d v="2007-06-21T00:00:00"/>
        <d v="2013-12-19T00:00:00"/>
        <d v="2014-03-03T00:00:00"/>
        <d v="2015-03-01T00:00:00"/>
        <d v="2015-12-21T00:00:00"/>
        <d v="2007-05-22T00:00:00"/>
        <d v="2013-05-10T00:00:00"/>
        <d v="2009-06-18T00:00:00"/>
        <d v="2007-05-02T00:00:00"/>
        <d v="2009-09-22T00:00:00"/>
        <d v="2009-03-26T00:00:00"/>
        <d v="2012-09-11T00:00:00"/>
        <d v="2007-06-28T00:00:00"/>
        <d v="2010-04-08T00:00:00"/>
        <d v="2009-10-29T00:00:00"/>
        <d v="2013-07-16T00:00:00"/>
        <d v="2013-02-28T00:00:00"/>
        <d v="2012-05-31T00:00:00"/>
        <d v="2012-05-10T00:00:00"/>
        <d v="2007-12-20T00:00:00"/>
        <d v="2014-12-04T00:00:00"/>
        <d v="2011-01-18T00:00:00"/>
        <d v="2012-12-21T00:00:00"/>
        <d v="2013-12-09T00:00:00"/>
        <d v="2011-09-27T00:00:00"/>
        <d v="2008-04-16T00:00:00"/>
        <d v="2007-10-02T00:00:00"/>
        <d v="2009-01-01T00:00:00"/>
        <d v="2015-10-01T00:00:00"/>
        <d v="2009-12-21T00:00:00"/>
        <d v="2008-06-02T00:00:00"/>
        <d v="2010-01-01T00:00:00"/>
        <d v="2007-12-06T00:00:00"/>
        <d v="2009-08-10T00:00:00"/>
        <d v="2008-04-15T00:00:00"/>
        <d v="2011-01-01T00:00:00"/>
        <d v="2011-02-15T00:00:00"/>
        <d v="2007-11-29T00:00:00"/>
        <d v="2008-10-08T00:00:00"/>
        <d v="2012-01-01T00:00:00"/>
        <d v="2013-01-01T00:00:00"/>
        <d v="2014-01-01T00:00:00"/>
        <d v="2009-12-11T00:00:00"/>
        <d v="2009-08-07T00:00:00"/>
        <d v="2010-05-12T00:00:00"/>
        <d v="2011-07-26T00:00:00"/>
        <d v="2010-01-21T00:00:00"/>
        <d v="2010-02-08T00:00:00"/>
        <d v="2009-02-10T00:00:00"/>
        <d v="2011-11-22T00:00:00"/>
        <d v="2009-08-27T00:00:00"/>
        <d v="2010-09-08T00:00:00"/>
        <d v="2011-08-01T00:00:00"/>
        <d v="2011-09-09T00:00:00"/>
        <d v="2012-05-23T00:00:00"/>
        <d v="2012-11-24T00:00:00"/>
        <d v="2011-09-15T00:00:00"/>
        <d v="2007-09-01T00:00:00"/>
        <d v="2008-05-27T00:00:00"/>
        <d v="2009-02-01T00:00:00"/>
        <d v="2009-11-16T00:00:00"/>
        <d v="2010-01-29T00:00:00"/>
        <d v="2010-11-17T00:00:00"/>
        <d v="2010-12-01T00:00:00"/>
        <d v="2010-12-15T00:00:00"/>
        <d v="2013-03-22T00:00:00"/>
        <d v="2012-03-01T00:00:00"/>
        <d v="2012-06-19T00:00:00"/>
        <d v="2012-02-06T00:00:00"/>
        <d v="2013-04-03T00:00:00"/>
        <d v="2013-04-22T00:00:00"/>
        <d v="2013-05-23T00:00:00"/>
        <d v="2012-11-26T00:00:00"/>
        <d v="2013-12-10T00:00:00"/>
        <d v="2014-12-31T00:00:00"/>
        <d v="2015-02-26T00:00:00"/>
        <d v="2015-08-01T00:00:00"/>
        <d v="2015-09-01T00:00:00"/>
        <d v="2009-02-25T00:00:00"/>
        <d v="2009-04-01T00:00:00"/>
        <d v="2009-05-04T00:00:00"/>
        <d v="2009-10-01T00:00:00"/>
        <d v="2012-01-04T00:00:00"/>
        <d v="2012-01-06T00:00:00"/>
        <d v="2012-06-06T00:00:00"/>
        <d v="2012-11-01T00:00:00"/>
        <d v="2014-12-16T00:00:00"/>
        <d v="2013-07-26T00:00:00"/>
        <d v="2014-09-01T00:00:00"/>
        <d v="2013-09-11T00:00:00"/>
        <d v="2014-12-22T00:00:00"/>
        <d v="2013-09-09T00:00:00"/>
        <d v="2015-12-01T00:00:00"/>
        <d v="2015-03-31T00:00:00"/>
        <d v="2015-07-28T00:00:00"/>
        <d v="2007-11-05T00:00:00"/>
        <d v="2007-06-26T00:00:00"/>
        <d v="2009-05-26T00:00:00"/>
        <d v="2011-12-16T00:00:00"/>
        <d v="2008-01-25T00:00:00"/>
        <d v="2009-06-30T00:00:00"/>
        <d v="2010-02-09T00:00:00"/>
        <d v="2011-10-24T00:00:00"/>
        <d v="2010-04-22T00:00:00"/>
        <d v="2007-09-27T00:00:00"/>
        <d v="2012-02-01T00:00:00"/>
        <d v="2013-05-01T00:00:00"/>
        <d v="2015-01-01T00:00:00"/>
        <d v="2007-01-01T00:00:00"/>
        <d v="2007-02-22T00:00:00"/>
        <d v="2007-03-15T00:00:00"/>
        <d v="2007-06-05T00:00:00"/>
        <d v="2008-01-01T00:00:00"/>
        <d v="2008-09-10T00:00:00"/>
        <d v="2008-10-14T00:00:00"/>
        <d v="2008-12-01T00:00:00"/>
        <d v="2009-05-13T00:00:00"/>
        <d v="2009-05-21T00:00:00"/>
        <d v="2009-05-22T00:00:00"/>
        <d v="2009-09-01T00:00:00"/>
        <d v="2009-12-10T00:00:00"/>
        <d v="2010-02-01T00:00:00"/>
        <d v="2010-11-01T00:00:00"/>
        <d v="2011-10-01T00:00:00"/>
        <d v="2012-03-22T00:00:00"/>
        <d v="2012-10-01T00:00:00"/>
        <d v="2012-10-12T00:00:00"/>
        <d v="2013-03-01T00:00:00"/>
        <d v="2013-05-22T00:00:00"/>
        <d v="2013-06-28T00:00:00"/>
        <d v="2013-10-01T00:00:00"/>
        <d v="2013-12-18T00:00:00"/>
        <d v="2014-02-01T00:00:00"/>
        <d v="2008-04-25T00:00:00"/>
        <d v="2010-12-22T00:00:00"/>
        <d v="2012-06-22T00:00:00"/>
        <d v="2013-09-30T00:00:00"/>
        <d v="2011-12-28T00:00:00"/>
        <d v="2013-01-29T00:00:00"/>
        <d v="2007-12-01T00:00:00"/>
        <d v="2007-03-02T00:00:00"/>
        <d v="2007-03-27T00:00:00"/>
        <d v="2007-03-29T00:00:00"/>
        <d v="2007-03-30T00:00:00"/>
        <d v="2007-04-02T00:00:00"/>
        <d v="2007-06-07T00:00:00"/>
        <d v="2007-06-08T00:00:00"/>
        <d v="2008-07-10T00:00:00"/>
        <d v="2008-12-30T00:00:00"/>
        <d v="2009-01-13T00:00:00"/>
        <d v="2009-07-28T00:00:00"/>
        <d v="2009-10-20T00:00:00"/>
        <d v="2009-10-22T00:00:00"/>
        <d v="2010-02-11T00:00:00"/>
        <d v="2010-03-08T00:00:00"/>
        <d v="2010-03-09T00:00:00"/>
        <d v="2010-03-23T00:00:00"/>
        <d v="2010-03-29T00:00:00"/>
        <d v="2010-03-30T00:00:00"/>
        <d v="2010-04-30T00:00:00"/>
        <d v="2011-01-24T00:00:00"/>
        <d v="2011-03-11T00:00:00"/>
        <d v="2011-05-23T00:00:00"/>
        <d v="2011-08-12T00:00:00"/>
        <d v="2011-11-02T00:00:00"/>
        <d v="2011-11-24T00:00:00"/>
        <d v="2012-02-27T00:00:00"/>
        <d v="2012-03-07T00:00:00"/>
        <d v="2012-03-30T00:00:00"/>
        <d v="2012-06-21T00:00:00"/>
        <d v="2012-07-18T00:00:00"/>
        <d v="2012-08-15T00:00:00"/>
        <d v="2012-08-28T00:00:00"/>
        <d v="2012-08-29T00:00:00"/>
        <d v="2012-11-27T00:00:00"/>
        <d v="2013-03-27T00:00:00"/>
        <d v="2013-03-28T00:00:00"/>
        <d v="2013-05-16T00:00:00"/>
        <d v="2013-08-22T00:00:00"/>
        <d v="2013-11-15T00:00:00"/>
        <d v="2014-01-27T00:00:00"/>
        <d v="2014-06-16T00:00:00"/>
        <d v="2014-07-17T00:00:00"/>
        <d v="2014-09-02T00:00:00"/>
        <d v="2014-09-18T00:00:00"/>
        <d v="2014-09-19T00:00:00"/>
        <d v="2015-01-26T00:00:00"/>
        <d v="2015-07-04T00:00:00"/>
        <d v="2015-12-13T00:00:00"/>
        <d v="2015-12-18T00:00:00"/>
        <d v="2015-06-18T00:00:00"/>
        <d v="2013-09-01T00:00:00"/>
        <d v="2015-12-02T00:00:00"/>
        <d v="2009-12-01T00:00:00"/>
        <d v="2010-02-25T00:00:00"/>
        <d v="2011-06-01T00:00:00"/>
        <d v="2012-04-20T00:00:00"/>
        <d v="2012-07-26T00:00:00"/>
        <d v="2015-01-14T00:00:00"/>
        <d v="2011-03-30T00:00:00"/>
        <d v="2011-10-28T00:00:00"/>
        <d v="2012-01-10T00:00:00"/>
        <d v="2012-05-16T00:00:00"/>
        <d v="2012-12-10T00:00:00"/>
        <d v="2014-01-28T00:00:00"/>
        <d v="2008-07-17T00:00:00"/>
        <d v="2010-10-22T00:00:00"/>
        <d v="2011-05-26T00:00:00"/>
        <d v="2011-11-14T00:00:00"/>
        <d v="2012-05-08T00:00:00"/>
        <d v="2012-08-16T00:00:00"/>
        <d v="2012-12-27T00:00:00"/>
        <d v="2014-02-13T00:00:00"/>
      </sharedItems>
      <fieldGroup base="10">
        <rangePr groupBy="years" startDate="2007-01-01T00:00:00" endDate="2015-12-22T00:00:00"/>
        <groupItems count="11">
          <s v="&lt;1/1/2007"/>
          <s v="2007"/>
          <s v="2008"/>
          <s v="2009"/>
          <s v="2010"/>
          <s v="2011"/>
          <s v="2012"/>
          <s v="2013"/>
          <s v="2014"/>
          <s v="2015"/>
          <s v="&gt;12/22/2015"/>
        </groupItems>
      </fieldGroup>
    </cacheField>
    <cacheField name="Notes" numFmtId="0">
      <sharedItems containsBlank="1" containsMixedTypes="1" containsNumber="1" minValue="408000" maxValue="18770400" longText="1"/>
    </cacheField>
    <cacheField name="Additional URLs" numFmtId="0">
      <sharedItems containsBlank="1" longText="1"/>
    </cacheField>
    <cacheField name="Power Plant Size (MW) or Share" numFmtId="0">
      <sharedItems containsString="0" containsBlank="1" containsNumber="1" minValue="1.5" maxValue="4800"/>
    </cacheField>
    <cacheField name="Annual Emissions (MMTCO2)" numFmtId="0">
      <sharedItems containsString="0" containsBlank="1" containsNumber="1" minValue="0" maxValue="5.4627491131200001"/>
    </cacheField>
    <cacheField name="Lifetime Emissions (MMTCO2)" numFmtId="0">
      <sharedItems containsString="0" containsBlank="1" containsNumber="1" minValue="0" maxValue="218.50996452480001"/>
    </cacheField>
    <cacheField name="Coal Mine Size (Mtpa)" numFmtId="0">
      <sharedItems containsString="0" containsBlank="1" containsNumber="1" minValue="0" maxValue="35.700000000000003"/>
    </cacheField>
    <cacheField name="Multi-Stakeholder" numFmtId="0">
      <sharedItems containsBlank="1" longText="1"/>
    </cacheField>
    <cacheField name="Project Status" numFmtId="0">
      <sharedItems containsBlank="1"/>
    </cacheField>
    <cacheField name="Low-Income Country" numFmtId="0">
      <sharedItems containsBlank="1"/>
    </cacheField>
    <cacheField name="Sector2" numFmtId="0" databaseField="0">
      <fieldGroup base="9">
        <discretePr count="41">
          <x v="27"/>
          <x v="27"/>
          <x v="26"/>
          <x v="0"/>
          <x v="23"/>
          <x v="26"/>
          <x v="17"/>
          <x v="26"/>
          <x v="18"/>
          <x v="32"/>
          <x v="29"/>
          <x v="30"/>
          <x v="19"/>
          <x v="28"/>
          <x v="16"/>
          <x v="22"/>
          <x v="0"/>
          <x v="0"/>
          <x v="27"/>
          <x v="25"/>
          <x v="26"/>
          <x v="21"/>
          <x v="26"/>
          <x v="31"/>
          <x v="20"/>
          <x v="24"/>
          <x v="15"/>
          <x v="3"/>
          <x v="1"/>
          <x v="2"/>
          <x v="6"/>
          <x v="4"/>
          <x v="11"/>
          <x v="13"/>
          <x v="9"/>
          <x v="14"/>
          <x v="5"/>
          <x v="8"/>
          <x v="7"/>
          <x v="12"/>
          <x v="10"/>
        </discretePr>
        <groupItems count="33">
          <s v="Group5"/>
          <n v="85.714285714285708"/>
          <n v="685.71428571428567"/>
          <n v="17.857142857142858"/>
          <n v="102.85714285714286"/>
          <n v="51.428571428571431"/>
          <n v="1310"/>
          <n v="240"/>
          <n v="250"/>
          <n v="533.33333333333337"/>
          <n v="340"/>
          <n v="61.333333333333336"/>
          <n v="67"/>
          <n v="52"/>
          <n v="88.333333333333329"/>
          <n v="0"/>
          <s v="Coal Power Plant - Emissions Control"/>
          <s v="Group6"/>
          <s v="Coal Mining "/>
          <s v="Coal Power Plant - Existing and New"/>
          <s v="Coal Mining - Existing"/>
          <s v="Coal Mining - Expansion"/>
          <s v="Unspecified"/>
          <s v="Coal - Policy"/>
          <s v="Coal Power Plant and Mining - Existing"/>
          <s v="Coal - Heating"/>
          <s v="Group2"/>
          <s v="Group1"/>
          <s v="Coal Power Plant - Expansion"/>
          <s v="Coal - mining"/>
          <s v="Coal power plant - new "/>
          <s v="T&amp;D"/>
          <s v="Other/Unspecified"/>
        </groupItems>
      </fieldGroup>
    </cacheField>
    <cacheField name="Institution2" numFmtId="0" databaseField="0">
      <fieldGroup base="1">
        <discretePr count="34">
          <x v="15"/>
          <x v="15"/>
          <x v="13"/>
          <x v="12"/>
          <x v="15"/>
          <x v="14"/>
          <x v="16"/>
          <x v="17"/>
          <x v="9"/>
          <x v="21"/>
          <x v="22"/>
          <x v="23"/>
          <x v="11"/>
          <x v="5"/>
          <x v="4"/>
          <x v="10"/>
          <x v="24"/>
          <x v="10"/>
          <x v="25"/>
          <x v="26"/>
          <x v="6"/>
          <x v="0"/>
          <x v="1"/>
          <x v="2"/>
          <x v="20"/>
          <x v="27"/>
          <x v="28"/>
          <x v="18"/>
          <x v="19"/>
          <x v="29"/>
          <x v="8"/>
          <x v="7"/>
          <x v="3"/>
          <x v="30"/>
        </discretePr>
        <groupItems count="31">
          <s v="Nippon Export and Investment Insurance (NEXI)"/>
          <s v="Japan Bank for International Cooperation (JBIC)"/>
          <s v="Japan International Cooperation Agency (JICA)"/>
          <s v="Export-Import Bank - US"/>
          <s v="Euler Hermes"/>
          <s v="Compagnie Francaise d'Assurance pour le Commerce Exterieur (COFACE)"/>
          <s v="Servizi Assicurativi del Commercio Estero (SACE)"/>
          <s v="UK Export Finance (UKEF)"/>
          <s v="Royal Bank of Scotland"/>
          <s v="Export Development Canada (EDC)"/>
          <s v="Group1"/>
          <s v="European Investment Bank"/>
          <s v="African Development Bank"/>
          <s v="Inter-American Development Bank"/>
          <s v="Asian Development Bank"/>
          <s v="Group2"/>
          <s v="European Bank for Reconstruction and Development"/>
          <s v="Export Finance and Insurance Corporation (EFIC)"/>
          <s v="Export-Import Bank of Korea (Kexim)"/>
          <s v="Korea Trade Insurance Corporation (K-sure)"/>
          <s v="Russian Development Bank (VEB)"/>
          <s v="China Development Bank"/>
          <s v="China Exim Bank"/>
          <s v="China Export &amp; Credit Insurance Corporation (Sinosure)"/>
          <s v="Kreditanstalt für Wiederaufbau (KfW DEG)"/>
          <s v="Export Import Bank of India"/>
          <s v="United Bank of India"/>
          <s v="Development Bank of Southern Africa"/>
          <s v="Industrial Development Corporation of South Africa"/>
          <s v="Halkbank"/>
          <n v="3.19"/>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9">
  <r>
    <x v="0"/>
    <x v="0"/>
    <s v="Other Public Financer"/>
    <n v="207000000"/>
    <s v="Engro Powergen Limited (50.1%), Habib Bank Limited (9.5%), Liberty Mills Limited (5.4%), China Machinery Engineering Corporation (35%)"/>
    <s v="Thar Coal Power Plant Phase I"/>
    <s v="https://ijglobal.com/data/transaction/32419/thar-coal-mine-and-coal-fired-power-plant-660mw-phase-1"/>
    <x v="0"/>
    <s v="Coal Power Plant"/>
    <x v="0"/>
    <x v="0"/>
    <s v="The financing will be used for the development of a 660MW mine-mouth coal-fired power plant in Tharparkar, Sindh, Pakistan. This is the first phase of Thar project and in phase two will be added another 660MW power to the plant facility."/>
    <s v="_x000a_http://www.dawn.com/news/1226912_x000a_http://www.ccb.com/cn/ccbtoday/media/20160330_1459320465.html;_x000a_http://news.xinhuanet.com/world/2016-04/12/c_128886142.htm;"/>
    <n v="660"/>
    <n v="0.75112800305400007"/>
    <n v="30.045120122160004"/>
    <m/>
    <m/>
    <m/>
  </r>
  <r>
    <x v="1"/>
    <x v="1"/>
    <s v="Majority State-Owned Banks"/>
    <n v="112500000"/>
    <s v="SUEK Siberian Coal Energy Company"/>
    <s v="SUEK Corporate Facility Refinancing 2016"/>
    <s v="https://ijglobal.com/data/transaction/35833/suek-corporate-facility-refinancing-2016"/>
    <x v="1"/>
    <s v="Other/Unspecified"/>
    <x v="1"/>
    <x v="1"/>
    <m/>
    <s v="https://ijglobal.com/data/transaction/35833/suek-corporate-facility-refinancing-2016"/>
    <m/>
    <n v="0"/>
    <n v="0"/>
    <m/>
    <m/>
    <m/>
  </r>
  <r>
    <x v="2"/>
    <x v="2"/>
    <s v="Other Public Financer"/>
    <n v="3000000"/>
    <s v="PT Megah Pratama Resources"/>
    <s v="BOSS/PB Project"/>
    <s v="http://www.jogmec.go.jp/english/news/release/news_06_000017.html_x000a_"/>
    <x v="2"/>
    <s v="Other/Unspecified"/>
    <x v="2"/>
    <x v="2"/>
    <m/>
    <m/>
    <m/>
    <n v="0"/>
    <n v="0"/>
    <m/>
    <m/>
    <m/>
  </r>
  <r>
    <x v="2"/>
    <x v="3"/>
    <s v="Export Credit Agency"/>
    <n v="107000000"/>
    <s v=" _x000a_PT PLN (Persero)"/>
    <s v="Expansion of Lontar Coal-Fired Power Plant"/>
    <s v="http://www.jbic.go.jp/en/information/press/press-2015/0316-47130 "/>
    <x v="2"/>
    <s v="Coal Power Plant"/>
    <x v="3"/>
    <x v="3"/>
    <m/>
    <s v="http://www.sumitomocorp.co.jp/news/detail/id=28906"/>
    <n v="157.5"/>
    <n v="0.17924645527425001"/>
    <n v="7.1698582109700002"/>
    <m/>
    <s v="Yes"/>
    <s v="Yes"/>
  </r>
  <r>
    <x v="2"/>
    <x v="4"/>
    <s v="Export Credit Agency"/>
    <n v="127000000"/>
    <s v=" _x000a_PT PLN (Persero)"/>
    <s v=" _x000a_Lontar Extension Coal Fired Steam Power Plant"/>
    <s v="http://www.nexi.go.jp/en/topics/newsrelease/2016030802.html"/>
    <x v="2"/>
    <s v="Coal Power Plant"/>
    <x v="3"/>
    <x v="4"/>
    <s v="Approved in 2016 - included as &quot;pending&quot; project for tabulation purposes since we do not have a space for 2016 projects."/>
    <s v="http://www.sumitomocorp.co.jp/news/detail/id=28906"/>
    <n v="157.5"/>
    <n v="0.17924645527425001"/>
    <n v="7.1698582109700002"/>
    <m/>
    <s v="Yes"/>
    <s v="Yes"/>
  </r>
  <r>
    <x v="3"/>
    <x v="5"/>
    <s v="Other Public Financer"/>
    <n v="72060000"/>
    <s v="Kumho Petrochemical"/>
    <s v="Kumho Yeosu Terminal Refinancing"/>
    <s v="https://ijglobal.com/articles/96263/financial-close-for-koreas-kwangyanghang-yeocheon-coal-terminal"/>
    <x v="3"/>
    <s v="Other/Unspecified"/>
    <x v="4"/>
    <x v="5"/>
    <m/>
    <m/>
    <m/>
    <n v="0"/>
    <n v="0"/>
    <m/>
    <m/>
    <m/>
  </r>
  <r>
    <x v="0"/>
    <x v="0"/>
    <s v="Other Public Financer"/>
    <n v="66660000"/>
    <s v="Government of Sindh (54.7%), Engro Powergen Limited (11.9%), Thal Limited (11.9%), Habib Bank Limited (9.5%), Hub Power Company Ltd (8.0%), China Machinery Engineering Corporation (4.0%); "/>
    <s v="Thar Coal Block II Mine Phase I"/>
    <s v="https://ijglobal.com/data/transaction/36329/thar-coal-block-ii-mine"/>
    <x v="0"/>
    <s v="Coal Mining"/>
    <x v="5"/>
    <x v="6"/>
    <m/>
    <m/>
    <m/>
    <m/>
    <m/>
    <n v="1.2666666666666666"/>
    <m/>
    <m/>
  </r>
  <r>
    <x v="0"/>
    <x v="0"/>
    <s v="Other Public Financer"/>
    <n v="1800000000"/>
    <s v="Shenhua Group and Indonesia State Electricity Company"/>
    <s v="Java-7 Coal-Fired Power Plant (2000MW)"/>
    <s v="https://ijglobal.com/data/transaction/32275/java-7-coal-fired-power-plant-2000mw-ppp"/>
    <x v="2"/>
    <s v="Coal Power Plant"/>
    <x v="6"/>
    <x v="7"/>
    <m/>
    <m/>
    <n v="2000"/>
    <n v="2.2761454638000003"/>
    <n v="91.045818552000014"/>
    <m/>
    <m/>
    <s v="Financed"/>
  </r>
  <r>
    <x v="4"/>
    <x v="6"/>
    <s v="Export Credit Agency"/>
    <m/>
    <m/>
    <s v="Plomin C Coal-fired power plants"/>
    <m/>
    <x v="4"/>
    <s v="Coal Power Plant"/>
    <x v="6"/>
    <x v="8"/>
    <s v="Parliamentary Inquiry March 2016. 246 euros; _x000a_The project was cancelled in June 2016. The power plant size was supposed to be 500MW with $262,540,021  financing. "/>
    <m/>
    <n v="0"/>
    <n v="0"/>
    <n v="0"/>
    <m/>
    <m/>
    <s v="Cancelled"/>
  </r>
  <r>
    <x v="2"/>
    <x v="3"/>
    <s v="Export Credit Agency"/>
    <n v="2052000000"/>
    <s v="PT Bhimasena Power Indonesia (BPI) - a joint venture by PT Adaro Energy Tbk and Itochu Corp and Electric Power Development Co (J-Power)"/>
    <s v="Batang"/>
    <s v="http://www.jbic.go.jp/en/information/press/press-2016/0603-48595"/>
    <x v="2"/>
    <s v="Coal Power Plant"/>
    <x v="7"/>
    <x v="9"/>
    <s v="https://ijglobal.com/articles/100054/central-java-financial-close-slips-again"/>
    <s v="http://af.reuters.com/article/energyOilNews/idAFL4N18Y264_x000a_http://www.itochu.co.jp/ja/news/2011/111007.html"/>
    <n v="2000"/>
    <n v="2.2761454638000003"/>
    <n v="91.045818552000014"/>
    <m/>
    <m/>
    <m/>
  </r>
  <r>
    <x v="0"/>
    <x v="7"/>
    <s v="Export Credit Agency"/>
    <s v="1300000000_x000a_"/>
    <s v="Africa Sunlight Energy (Pvt) Ltd (Caseco)"/>
    <s v="Gwayi Mine power station (600MW)"/>
    <s v="http://www.theindependent.co.zw/2016/06/16/zims-us2bn-solar-projects-resumes-two-years/"/>
    <x v="5"/>
    <s v="Coal Power Plant"/>
    <x v="8"/>
    <x v="10"/>
    <s v="https://ijglobal.com/data/transaction/32399/sasec-zimbabwe-coal-project"/>
    <s v="http://www.herald.co.zw/chinese-firm-to-fund-gwayi-power-project http://source.co.zw/2013/12/chinese-firm-starts-work-on-gwayi-coal-mine-thermal-power-station http://www.newzimbabwe.com/news-13453-Work+starts+on+$1.3bln+power+station/news.aspx http://www.southerneye.co.zw/2013/12/11/600mw-gwayi-power-project-takes "/>
    <n v="600"/>
    <n v="0.68284363914000001"/>
    <n v="27.313745565600001"/>
    <m/>
    <m/>
    <m/>
  </r>
  <r>
    <x v="2"/>
    <x v="3"/>
    <s v="Export Credit Agency"/>
    <n v="3700000000"/>
    <s v="Coal Power Generation Company"/>
    <s v="Matarbari Coal Fired Power Plant (1200MW)"/>
    <s v="https://ijglobal.com/data/transaction/31130"/>
    <x v="6"/>
    <s v="Coal Power Plant"/>
    <x v="7"/>
    <x v="10"/>
    <m/>
    <m/>
    <n v="1200"/>
    <n v="1.36568727828"/>
    <n v="54.627491131200003"/>
    <m/>
    <m/>
    <m/>
  </r>
  <r>
    <x v="2"/>
    <x v="3"/>
    <s v="Export Credit Agency"/>
    <n v="1600000000"/>
    <s v="Toyo Thai"/>
    <s v="Toyo-Thai coal-fired power plant (1280MW)"/>
    <m/>
    <x v="7"/>
    <s v="Coal Power Plant"/>
    <x v="7"/>
    <x v="10"/>
    <s v="Based on IJGlobal article, it is assumed that JBIC will finance 80% of $2bn debt, or $1.6 bn: “Toyo-Thai plans to set up a holding company through existing subsidiary Toyo Thai Power called Toyo-Thai Power Myanmar to act as the project company. It is planning to mandate the Japan Bank for International Cooperation (JBIC) for roughly 80% of the $2bn debt required for the project.” "/>
    <s v="https://ijglobal.com/data/transaction/30905/toyo-thai-coal-fired-power-plant-1280mw"/>
    <n v="1280"/>
    <n v="1.4567330968319998"/>
    <n v="58.269323873279994"/>
    <m/>
    <m/>
    <m/>
  </r>
  <r>
    <x v="0"/>
    <x v="8"/>
    <s v="Export Credit Agency"/>
    <n v="1500000000"/>
    <s v="Dongfang Electric"/>
    <s v="Hamarawein Port "/>
    <s v="http://www.hkexnews.hk/listedco/listconews/sehk/2016/0122/LTN20160122907.pdf"/>
    <x v="8"/>
    <s v="Coal Power Plant"/>
    <x v="8"/>
    <x v="10"/>
    <s v="2640MW plant. Power plant size is equally divided by the two investors, China ExIm and Industrial and Commercial Bank of China. Article show conflicting cost of plant. Decided on lower amount ($3B USD), and divided equally between two investors.From Bankwatch"/>
    <s v="http://menafn.com/1094851346/Al-Sisi-Electricity-Ministry-to-finalise-contract-with-Shanghai-Electric-for-coal-fired-power-plant-in-September"/>
    <n v="1320"/>
    <n v="1.5022560061080001"/>
    <n v="60.090240244320007"/>
    <m/>
    <m/>
    <s v="Signed"/>
  </r>
  <r>
    <x v="0"/>
    <x v="0"/>
    <s v="Other Public Financer"/>
    <n v="1300000000"/>
    <s v="Naftogaz"/>
    <s v="Kyiv and Lviv coal plants"/>
    <s v="http://www.naftogaz.com/www/3/nakweben.nsf/0/222826C460B4DF3AC2257F9D00451F71?OpenDocument&amp;year=2016&amp;month=05&amp;nt=News&amp;"/>
    <x v="9"/>
    <s v="Coal Power Plant"/>
    <x v="7"/>
    <x v="10"/>
    <s v="part of $2B credit facility from CDB"/>
    <s v="http://www.forbes.com/sites/kenrapoza/2016/04/22/even-ukraine-is-turning-to-the-chinese-for-money/#2fdc28011319"/>
    <m/>
    <n v="0"/>
    <n v="0"/>
    <m/>
    <m/>
    <m/>
  </r>
  <r>
    <x v="5"/>
    <x v="9"/>
    <s v="Export Credit Agency"/>
    <n v="1120000000"/>
    <s v="Bangladesh-India Friendship Power Company (BIFPCL)"/>
    <s v="Maitree Coal Fired Power Plant (1320MW)"/>
    <s v="https://ijglobal.com/data/transaction/35706/maitree-coal-fired-power-power-plant-1320mw"/>
    <x v="6"/>
    <s v="Coal Power Plant"/>
    <x v="9"/>
    <x v="10"/>
    <s v="The $1.6 billion proceeds will be used for the construction and exploitation of the Maitree coal-fired power plant, located in Rampal Upazila of Bagerhat District, in Khulna, in south-western Bangladesh.  The plant will have two 660 MW coal-fired units, situated on an area of over 1834 acres of land."/>
    <m/>
    <n v="1320"/>
    <n v="1.5022560061080001"/>
    <n v="60.090240244320007"/>
    <m/>
    <m/>
    <m/>
  </r>
  <r>
    <x v="6"/>
    <x v="10"/>
    <s v="Multilateral"/>
    <n v="998446141.81396341"/>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0"/>
    <x v="7"/>
    <s v="Export Credit Agency"/>
    <n v="881880000"/>
    <s v="Gezouba International "/>
    <s v="Tuzla 7"/>
    <s v="http://bankwatch.org/news-media/blog/public-bosnia-herzegovina-pay-shaky-economics-tuzla-7-coal-plant-will-officials-take"/>
    <x v="11"/>
    <s v="Coal Power Plant"/>
    <x v="7"/>
    <x v="10"/>
    <s v="Loan conditionality under negotiation. There is a 50 mil EUR difference between the figures for preferred buyers' credit and buyers' credit "/>
    <m/>
    <n v="450"/>
    <n v="0.51213272935499998"/>
    <n v="20.485309174199998"/>
    <m/>
    <m/>
    <m/>
  </r>
  <r>
    <x v="2"/>
    <x v="3"/>
    <s v="Export Credit Agency"/>
    <n v="862500000"/>
    <s v="Marubeni, KEPCO"/>
    <s v="Nghi Son 2 coal-fired power plant (1200MW)"/>
    <m/>
    <x v="12"/>
    <s v="Coal Power Plant"/>
    <x v="7"/>
    <x v="10"/>
    <s v="JICA has already supported this project; JBIC expected to provide $862.5 million according to IJGlobal"/>
    <s v="https://ijglobal.com/data/transaction/28855/nghi-son-2-coal-fired-power-plant-1200mw"/>
    <n v="1200"/>
    <n v="1.36568727828"/>
    <n v="54.627491131200003"/>
    <m/>
    <m/>
    <m/>
  </r>
  <r>
    <x v="0"/>
    <x v="0"/>
    <s v="Other Public Financer"/>
    <n v="782250000"/>
    <s v="China National Electric Engineering Company"/>
    <s v="Ugljevik 3"/>
    <s v="http://renewables.seenews.com/news/comsar-energy-to-invest-some-1-0-bln-euro-in-bosnia-s-tpp-ugljevik-3-hpp-mrsovo-media-324567#"/>
    <x v="11"/>
    <s v="Coal Power Plant"/>
    <x v="7"/>
    <x v="10"/>
    <s v="MoU with China Development signed in 2015; from Bankwatch"/>
    <s v="http://www.freetradezoneconsulting.com/eng.php?cat_code=sewyxx&amp;art_id=809"/>
    <n v="600"/>
    <n v="0.68284363914000001"/>
    <n v="27.313745565600001"/>
    <m/>
    <m/>
    <s v="Permitted"/>
  </r>
  <r>
    <x v="2"/>
    <x v="3"/>
    <s v="Export Credit Agency"/>
    <n v="650000000"/>
    <s v="Sumitomo  Corp."/>
    <s v="Van Phong (1320MW)"/>
    <s v="https://ijglobal.com/articles/94256/jbic-debt-for-vietnams-van-phong-power"/>
    <x v="12"/>
    <s v="Coal Power Plant"/>
    <x v="7"/>
    <x v="10"/>
    <s v="JBIC’s potential participation is clear, but amount is unclear. Allocated JBIC $650 million - 25% of $2.6 billion – which is a conservative estimate compared to JBIC’s share of participation in other coal-fired power projects."/>
    <m/>
    <n v="1320"/>
    <n v="1.5022560061080001"/>
    <n v="60.090240244320007"/>
    <m/>
    <m/>
    <m/>
  </r>
  <r>
    <x v="2"/>
    <x v="3"/>
    <s v="Export Credit Agency"/>
    <n v="625000000"/>
    <s v="CLP Holdings, Mitsubishi"/>
    <s v="Vung Ang 2 (1320MW)"/>
    <s v="https://ijglobal.com/articles/97917/bot-contract-signed-for-vung-ang-2"/>
    <x v="12"/>
    <s v="Coal Power Plant"/>
    <x v="7"/>
    <x v="10"/>
    <s v="According to IJGlobal article, “The sponsors have now started to turn their attention to the financing and are speaking to the Japan Bank for International Cooperation (JBIC) about providing a mixture of direct loans and guarantees for the project.”_x000a_No further details; allocated JBIC $625 million - 25% of $2.5 billion – which is a conservative estimate compared to JBIC’s share of participation in other coal-fired power projects._x000a__x000a_Comments from sponsors indicate they will also seek NEXI cover, but not clear for what portion, so no amount included_x000a_"/>
    <m/>
    <n v="1320"/>
    <n v="1.5022560061080001"/>
    <n v="60.090240244320007"/>
    <m/>
    <m/>
    <m/>
  </r>
  <r>
    <x v="0"/>
    <x v="7"/>
    <s v="Export Credit Agency"/>
    <n v="600000000"/>
    <s v="China Gezhouba Group Company"/>
    <s v="Power Plant (300MW)"/>
    <s v="http://www.engineeringnews.co.za/article/malawi-power-station-2014-05-23/rep_id:4136"/>
    <x v="13"/>
    <s v="Coal Power Plant"/>
    <x v="7"/>
    <x v="10"/>
    <m/>
    <s v="http://www.sourcewatch.org/index.php/Kamwamba_power_station_x000a_http://climatepolicyinitiative.org/wp-content/uploads/2015/11/Slowing-the-Growth-of-Coal-Power-Outside-China.pdf"/>
    <n v="300"/>
    <n v="0.34142181957000001"/>
    <n v="13.656872782800001"/>
    <m/>
    <m/>
    <m/>
  </r>
  <r>
    <x v="0"/>
    <x v="0"/>
    <s v="Other Public Financer"/>
    <n v="500000000"/>
    <s v="Sinar Mas Group"/>
    <s v="Jambi Province 2-unit mine-mouth coal-fired power plant  (400MW)"/>
    <m/>
    <x v="2"/>
    <s v="Coal Power Plant"/>
    <x v="7"/>
    <x v="10"/>
    <m/>
    <s v="http://www.sourcewatch.org/index.php/Sinar_Mas_Jambi_power_station"/>
    <n v="400"/>
    <n v="0.45522909276000001"/>
    <n v="18.209163710399999"/>
    <m/>
    <m/>
    <m/>
  </r>
  <r>
    <x v="3"/>
    <x v="11"/>
    <s v="Export Credit Agency"/>
    <n v="401000000"/>
    <s v="Adaro Energy"/>
    <s v="KalSel Coal-Fired Power Plant (200MW)"/>
    <m/>
    <x v="2"/>
    <s v="Other/Unspecified"/>
    <x v="11"/>
    <x v="10"/>
    <m/>
    <s v="https://ijglobal.com/data/transaction/32622/kalsel-coal-fired-power-plant-200mw"/>
    <n v="100"/>
    <n v="0.11380727319"/>
    <n v="4.5522909275999996"/>
    <m/>
    <s v="KDB and K-Sure"/>
    <m/>
  </r>
  <r>
    <x v="2"/>
    <x v="3"/>
    <s v="Export Credit Agency"/>
    <n v="320000000"/>
    <s v="Marubeni, Korea Midland Power, Samtan and PT Indika Energy"/>
    <s v="Cirebon IPP expansion Phase 2 (1000MW)"/>
    <s v="http://www.jbic.go.jp/en/efforts/environment/projects/49263"/>
    <x v="2"/>
    <s v="Coal Power Plant"/>
    <x v="3"/>
    <x v="10"/>
    <s v="Japan Bank for International Cooperation (JBIC), Nexi and the Export-Import Bank of Korea (Kexim) are expected to provide roughly 60% of the debt requirement. "/>
    <s v="https://ijglobal.com/data/transaction/34565"/>
    <n v="1000"/>
    <n v="1.1380727319000001"/>
    <n v="45.522909276000007"/>
    <m/>
    <s v="Yes"/>
    <s v="Financing"/>
  </r>
  <r>
    <x v="2"/>
    <x v="4"/>
    <s v="Export Credit Agency"/>
    <n v="320000000"/>
    <s v="Marubeni, Korea Midland Power, Samtan and PT Indika Energy"/>
    <s v="Cirebon IPP expansion Phase 2 (1000MW)"/>
    <s v="http://www.jbic.go.jp/en/efforts/environment/projects/49263"/>
    <x v="2"/>
    <s v="Coal Power Plant"/>
    <x v="3"/>
    <x v="10"/>
    <s v="Japan Bank for International Cooperation (JBIC), Nexi and the Export-Import Bank of Korea (Kexim) are expected to provide roughly 60% of the debt requirement. "/>
    <s v="https://ijglobal.com/data/transaction/34565"/>
    <n v="1000"/>
    <n v="1.1380727319000001"/>
    <n v="45.522909276000007"/>
    <m/>
    <s v="Yes"/>
    <m/>
  </r>
  <r>
    <x v="3"/>
    <x v="12"/>
    <s v="Export Credit Agency"/>
    <n v="320000000"/>
    <s v="Marubeni, Korea Midland Power, Samtan and PT Indika Energy"/>
    <s v="Cirebon IPP expansion Phase 2 (1000MW)"/>
    <s v="http://www.jbic.go.jp/en/efforts/environment/projects/49263"/>
    <x v="2"/>
    <s v="Coal Power Plant"/>
    <x v="3"/>
    <x v="10"/>
    <s v="Japan Bank for International Cooperation (JBIC), Nexi and the Export-Import Bank of Korea (Kexim) are expected to provide roughly 60% of the debt requirement. "/>
    <s v="https://ijglobal.com/data/transaction/34565"/>
    <n v="1000"/>
    <n v="1.1380727319000001"/>
    <n v="45.522909276000007"/>
    <m/>
    <s v="Yes"/>
    <m/>
  </r>
  <r>
    <x v="0"/>
    <x v="7"/>
    <s v="Export Credit Agency"/>
    <n v="319000000"/>
    <s v="Unknown"/>
    <s v="Dushanbe Phase II"/>
    <s v="http://ru.sputnik-tj.com/country/20160209/1018386452.html"/>
    <x v="14"/>
    <s v="Coal Power Plant"/>
    <x v="3"/>
    <x v="10"/>
    <s v="Increase production capacity by 300 MW.; from Bankwatch"/>
    <s v="http://www.sourcewatch.org/index.php/Dushanbe-2_power_station"/>
    <n v="300"/>
    <n v="0.34142181957000001"/>
    <n v="13.656872782800001"/>
    <m/>
    <m/>
    <s v="Under construction"/>
  </r>
  <r>
    <x v="3"/>
    <x v="13"/>
    <s v="Export Credit Agency"/>
    <n v="300000000"/>
    <s v="Vietnam Electricity Group (EVN)"/>
    <s v="Vinh Tan 4 Coal-Fired Thermal Power Plant (600MW)"/>
    <s v="https://ijglobal.com/data/transaction/31707/vinh-tan-4-coal-fired-thermal-power-plant-1200mw"/>
    <x v="12"/>
    <s v="Coal Power Plant"/>
    <x v="7"/>
    <x v="10"/>
    <m/>
    <s v="https://ijglobal.com/data/transaction/31707/vinh-tan-4-coal-fired-thermal-power-plant-1200mw"/>
    <n v="200"/>
    <n v="0.22761454638"/>
    <n v="9.1045818551999993"/>
    <m/>
    <m/>
    <m/>
  </r>
  <r>
    <x v="3"/>
    <x v="12"/>
    <s v="Export Credit Agency"/>
    <n v="300000000"/>
    <s v="Marubeni, Posco"/>
    <s v="Morupule coal-fired power plant (300MW)"/>
    <m/>
    <x v="15"/>
    <s v="Coal Power Plant"/>
    <x v="7"/>
    <x v="10"/>
    <m/>
    <s v="http://www.koreatimes.co.kr/www/news/biz/2015/11/123_192083.html"/>
    <m/>
    <n v="0"/>
    <n v="0"/>
    <m/>
    <s v="Yes"/>
    <s v="Yes"/>
  </r>
  <r>
    <x v="2"/>
    <x v="10"/>
    <s v="Multilateral"/>
    <n v="285014805.97912937"/>
    <s v="CORREDOR LOGISTICO INTEGRADO DE NACALA SA "/>
    <s v="Nacala Corridor"/>
    <m/>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s v="http://ifcext.ifc.org/ifcext/spiwebsite1.nsf/651aeb16abd09c1f8525797d006976ba/3286ce33bf634a7485257f5d005895cd?opendocument"/>
    <m/>
    <n v="0"/>
    <n v="0"/>
    <m/>
    <m/>
    <m/>
  </r>
  <r>
    <x v="3"/>
    <x v="13"/>
    <s v="Export Credit Agency"/>
    <n v="250000000"/>
    <s v="ACWA Power, Mitsui, Vale"/>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s://ijglobal.com/data/transaction/28563"/>
    <n v="150"/>
    <n v="0.170710909785"/>
    <n v="6.8284363914000004"/>
    <m/>
    <m/>
    <m/>
  </r>
  <r>
    <x v="4"/>
    <x v="14"/>
    <s v="Other Public Financer"/>
    <n v="232575000"/>
    <s v="Not identified"/>
    <s v="Suralaya Power Plant "/>
    <m/>
    <x v="2"/>
    <s v="Coal Power Plant Emissions Control"/>
    <x v="12"/>
    <x v="10"/>
    <s v="PENDING avg exchange rate for 2014 1.329; (environmental measure: deployment of modern environmental protection technologies for waste gas purification, and rehabilitation of generators, turbines and boilers)"/>
    <m/>
    <m/>
    <n v="0"/>
    <n v="0"/>
    <m/>
    <m/>
    <m/>
  </r>
  <r>
    <x v="2"/>
    <x v="15"/>
    <s v="Other Public Financer"/>
    <n v="232187815"/>
    <s v="Vale"/>
    <s v="Nacala Rail and Port Project"/>
    <m/>
    <x v="10"/>
    <s v="Coal Mining"/>
    <x v="13"/>
    <x v="10"/>
    <s v="An IFC disclosure document describes the project as almost exclusively coal-focused: &quot;The project will enable evacuation and export of the coal produced by the Moatize coal mine.&quot; "/>
    <s v="https://ijglobal.com/data/transaction/31942"/>
    <m/>
    <n v="0"/>
    <n v="0"/>
    <n v="3"/>
    <m/>
    <m/>
  </r>
  <r>
    <x v="4"/>
    <x v="10"/>
    <s v="Multilateral"/>
    <n v="226049248.82890725"/>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2"/>
    <x v="3"/>
    <s v="Export Credit Agency"/>
    <n v="225000000"/>
    <s v="Vale"/>
    <s v="Nacala Rail and Port Project"/>
    <m/>
    <x v="10"/>
    <s v="Other/Unspecified"/>
    <x v="14"/>
    <x v="10"/>
    <s v="JBIC and NEXI expected to provide substantial support to the Ncala rail and coal project, according to IJGlobal reports: “Alongside JBIC and Nexi, which will provide debt coverage for Japanese banks, development finance institutions (DFIs) the IFC and AfDB are also expected to lend on the deal.” . JICA has already provided support through an ODA loan agreement, as of June 2015. Total project value is $4.5 billion; prospective JBIC and NEXI contribution are conservatively estimated at 5% of total value each. "/>
    <m/>
    <m/>
    <n v="0"/>
    <n v="0"/>
    <m/>
    <s v="Yes"/>
    <s v="Yes"/>
  </r>
  <r>
    <x v="2"/>
    <x v="4"/>
    <s v="Export Credit Agency"/>
    <n v="225000000"/>
    <s v="Vale"/>
    <s v="Nacala Rail and Port Project"/>
    <m/>
    <x v="10"/>
    <s v="Other/Unspecified"/>
    <x v="14"/>
    <x v="10"/>
    <s v="JBIC and NEXI expected to provide substantial support to the Ncala rail and coal project, according to IJGlobal reports: “Alongside JBIC and Nexi, which will provide debt coverage for Japanese banks, development finance institutions (DFIs) the IFC and AfDB are also expected to lend on the deal.” JICA has already provided support through an ODA loan agreement, as of June 2015. Total project value is $4.5 billion; prospective JBIC and NEXI contribution are conservatively estimated at 5% of total value each. "/>
    <m/>
    <m/>
    <n v="0"/>
    <n v="0"/>
    <m/>
    <s v="Yes"/>
    <s v="Yes"/>
  </r>
  <r>
    <x v="4"/>
    <x v="16"/>
    <s v="Other Public Financer"/>
    <n v="213447171.82497332"/>
    <m/>
    <s v="Ptolemaida V Coal-fired Power Plant"/>
    <s v="http://www.ekathimerini.com/4dcgi/_w_articles_wsite2_1_13/03/2012_432833"/>
    <x v="16"/>
    <s v="Coal Power Plant"/>
    <x v="7"/>
    <x v="10"/>
    <s v="no contract yet; Envisioned as a 200 million euro contribution from kFW."/>
    <m/>
    <n v="660"/>
    <n v="0.75112800305400007"/>
    <n v="30.045120122160004"/>
    <m/>
    <m/>
    <m/>
  </r>
  <r>
    <x v="7"/>
    <x v="10"/>
    <s v="Multilateral"/>
    <n v="212208317.9246456"/>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8"/>
    <x v="10"/>
    <s v="Multilateral"/>
    <n v="212208317.9246456"/>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4"/>
    <x v="6"/>
    <s v="Export Credit Agency"/>
    <n v="210245464.24759871"/>
    <m/>
    <s v="Coal-fired power plant: steam turbines and generators"/>
    <m/>
    <x v="17"/>
    <s v="Coal Power Plant"/>
    <x v="6"/>
    <x v="10"/>
    <s v="Parliamentary Inquiry March 2016. 197 euros"/>
    <m/>
    <m/>
    <n v="0"/>
    <n v="0"/>
    <m/>
    <m/>
    <m/>
  </r>
  <r>
    <x v="2"/>
    <x v="3"/>
    <s v="Export Credit Agency"/>
    <n v="200000000"/>
    <s v="Marubeni, Posco"/>
    <s v="Morupule coal-fired power plant (300MW)"/>
    <m/>
    <x v="15"/>
    <s v="Coal Power Plant"/>
    <x v="7"/>
    <x v="10"/>
    <s v="IJGlobal article indicates prospective JBIC and NEXI participation._x000a_$800m total project cost; Morupule B Phase II Units 5 &amp; 6; subcritical"/>
    <m/>
    <n v="150"/>
    <n v="0.170710909785"/>
    <n v="6.8284363914000004"/>
    <m/>
    <s v="Yes"/>
    <s v="Yes"/>
  </r>
  <r>
    <x v="2"/>
    <x v="4"/>
    <s v="Export Credit Agency"/>
    <n v="200000000"/>
    <s v="Marubeni, Posco"/>
    <s v="Morupule coal-fired power plant (300MW)"/>
    <m/>
    <x v="15"/>
    <s v="Coal Power Plant"/>
    <x v="7"/>
    <x v="10"/>
    <s v="IJGlobal article indicates prospective JBIC and NEXI participation._x000a_$800m total project cost; Morupule B Phase II Units 5 &amp; 6; subcritical"/>
    <m/>
    <n v="150"/>
    <n v="0.170710909785"/>
    <n v="6.8284363914000004"/>
    <m/>
    <s v="Yes"/>
    <s v="Yes"/>
  </r>
  <r>
    <x v="5"/>
    <x v="10"/>
    <s v="Multilateral"/>
    <n v="180524808.53934211"/>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1"/>
    <x v="10"/>
    <s v="Multilateral"/>
    <n v="180359972.92487353"/>
    <s v="CORREDOR LOGISTICO INTEGRADO DE NACALA SA "/>
    <s v="Nacala Corridor"/>
    <m/>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s v="http://ifcext.ifc.org/ifcext/spiwebsite1.nsf/651aeb16abd09c1f8525797d006976ba/3286ce33bf634a7485257f5d005895cd?opendocument"/>
    <m/>
    <n v="0"/>
    <n v="0"/>
    <m/>
    <m/>
    <m/>
  </r>
  <r>
    <x v="2"/>
    <x v="3"/>
    <s v="Export Credit Agency"/>
    <n v="169000000"/>
    <s v="Vietnam Electricity Group (EVN)"/>
    <s v="Vinh Tan 4 Coal-Fired Thermal Power Plant (600MW)"/>
    <s v="http://www.jbic.go.jp/en/efforts/environment/projects/48375 "/>
    <x v="12"/>
    <s v="Coal Power Plant"/>
    <x v="7"/>
    <x v="10"/>
    <m/>
    <s v="https://ijglobal.com/data/transaction/31707/vinh-tan-4-coal-fired-thermal-power-plant-1200mw"/>
    <n v="200"/>
    <n v="0.22761454638"/>
    <n v="9.1045818551999993"/>
    <m/>
    <m/>
    <m/>
  </r>
  <r>
    <x v="9"/>
    <x v="10"/>
    <s v="Multilateral"/>
    <n v="142638920.76706621"/>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10"/>
    <x v="10"/>
    <s v="Multilateral"/>
    <n v="142638920.76706621"/>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0"/>
    <x v="10"/>
    <s v="Multilateral"/>
    <n v="108293491.56513169"/>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11"/>
    <x v="10"/>
    <s v="Multilateral"/>
    <n v="97472208.832305297"/>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12"/>
    <x v="10"/>
    <s v="Multilateral"/>
    <n v="89498724.374978811"/>
    <s v="CORREDOR LOGISTICO INTEGRADO DE NACALA SA "/>
    <s v="Nacala Corridor"/>
    <m/>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s v="http://ifcext.ifc.org/ifcext/spiwebsite1.nsf/651aeb16abd09c1f8525797d006976ba/3286ce33bf634a7485257f5d005895cd?opendocument"/>
    <m/>
    <n v="0"/>
    <n v="0"/>
    <m/>
    <m/>
    <m/>
  </r>
  <r>
    <x v="5"/>
    <x v="9"/>
    <s v="Export Credit Agency"/>
    <n v="87000000"/>
    <s v="Zimbabwe Power Compant"/>
    <s v="Bulawayo Thermal Power Plant Rehabilitation"/>
    <s v="https://ijglobal.com/data/transaction/34998/bulawayo-thermal-power-plant-90mw-rehabilitation"/>
    <x v="5"/>
    <s v="Coal Power Plant"/>
    <x v="15"/>
    <x v="10"/>
    <s v="The financing will be used to rehabilitate and upgrade Bulawayo Thermal Power Station in Zimbabwe. The plant initially had an installed capacity of 120MW, but after a refurbishment in 1999 the capacity was reduced to  90MW. The Zimbabwe Power Company (ZPC) will repower the plant and will improve the energy efficiency. The repowering works would add 60MW onto the grid, as the station is only producing around 30MW from its installed capacity."/>
    <m/>
    <n v="80"/>
    <n v="9.1045818551999988E-2"/>
    <n v="3.6418327420799996"/>
    <m/>
    <m/>
    <m/>
  </r>
  <r>
    <x v="13"/>
    <x v="10"/>
    <s v="Multilateral"/>
    <n v="82994731.884936169"/>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4"/>
    <x v="6"/>
    <s v="Export Credit Agency"/>
    <n v="81109925.293489859"/>
    <m/>
    <s v="Coal Processing: Technological equipment"/>
    <m/>
    <x v="1"/>
    <s v="Coal Mining"/>
    <x v="5"/>
    <x v="10"/>
    <s v="Parliamentary Inquiry March 2016. 76m euros"/>
    <m/>
    <m/>
    <n v="0"/>
    <n v="0"/>
    <m/>
    <m/>
    <m/>
  </r>
  <r>
    <x v="4"/>
    <x v="14"/>
    <s v="Other Public Financer"/>
    <n v="75753000"/>
    <s v="Not identified"/>
    <s v="Construction of a new district heating system (Energy Efficiency and Renewables Programme – Phase IV)"/>
    <m/>
    <x v="18"/>
    <s v="Other/Unspecified"/>
    <x v="16"/>
    <x v="10"/>
    <s v="PENDING avg exchange rate for 2014 1.329"/>
    <m/>
    <m/>
    <n v="0"/>
    <n v="0"/>
    <m/>
    <m/>
    <m/>
  </r>
  <r>
    <x v="14"/>
    <x v="10"/>
    <s v="Multilateral"/>
    <n v="74360151.399368644"/>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4"/>
    <x v="14"/>
    <s v="Other Public Financer"/>
    <n v="59805000"/>
    <s v="Not identified"/>
    <s v="Nikola Tesla A Power Plant "/>
    <m/>
    <x v="19"/>
    <s v="Coal Power Plant Emissions Control"/>
    <x v="12"/>
    <x v="10"/>
    <s v="PENDING avg exchange rate for 2014 1.329; (environmental measure: modernisation of an ash disposal system)"/>
    <m/>
    <m/>
    <n v="0"/>
    <n v="0"/>
    <m/>
    <m/>
    <m/>
  </r>
  <r>
    <x v="15"/>
    <x v="10"/>
    <s v="Multilateral"/>
    <n v="55416330.728047349"/>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16"/>
    <x v="10"/>
    <s v="Multilateral"/>
    <n v="53540010.435692094"/>
    <s v="CORREDOR LOGISTICO INTEGRADO DE NACALA SA "/>
    <s v="Nacala Corridor"/>
    <m/>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s v="http://ifcext.ifc.org/ifcext/spiwebsite1.nsf/651aeb16abd09c1f8525797d006976ba/3286ce33bf634a7485257f5d005895cd?opendocument"/>
    <m/>
    <n v="0"/>
    <n v="0"/>
    <m/>
    <m/>
    <m/>
  </r>
  <r>
    <x v="3"/>
    <x v="10"/>
    <s v="Multilateral"/>
    <n v="49359498.681509927"/>
    <s v="CORREDOR LOGISTICO INTEGRADO DE NACALA SA "/>
    <s v="Nacala Corridor"/>
    <m/>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s v="http://ifcext.ifc.org/ifcext/spiwebsite1.nsf/651aeb16abd09c1f8525797d006976ba/3286ce33bf634a7485257f5d005895cd?opendocument"/>
    <m/>
    <n v="0"/>
    <n v="0"/>
    <m/>
    <m/>
    <m/>
  </r>
  <r>
    <x v="4"/>
    <x v="6"/>
    <s v="Export Credit Agency"/>
    <n v="44823906.083244391"/>
    <m/>
    <s v="Coal-fired power plants: control system and field instrumentation"/>
    <m/>
    <x v="20"/>
    <s v="Coal Power Plant"/>
    <x v="6"/>
    <x v="10"/>
    <s v="Parliamentary Inquiry March 2016. 42 euros"/>
    <m/>
    <m/>
    <n v="0"/>
    <n v="0"/>
    <m/>
    <m/>
    <m/>
  </r>
  <r>
    <x v="4"/>
    <x v="14"/>
    <s v="Other Public Financer"/>
    <n v="39870000"/>
    <s v="Not identified"/>
    <s v="Efficiency and environmental measures in the Mongolian power plant fleet"/>
    <m/>
    <x v="21"/>
    <s v="Coal Power Plant Emissions Control"/>
    <x v="12"/>
    <x v="10"/>
    <s v="PENDING avg exchange rate for 2014 1.329"/>
    <m/>
    <m/>
    <n v="0"/>
    <n v="0"/>
    <m/>
    <m/>
    <m/>
  </r>
  <r>
    <x v="17"/>
    <x v="10"/>
    <s v="Multilateral"/>
    <n v="30543688.646956798"/>
    <s v="CORREDOR LOGISTICO INTEGRADO DE NACALA SA "/>
    <s v="Nacala Corridor"/>
    <m/>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s v="http://ifcext.ifc.org/ifcext/spiwebsite1.nsf/651aeb16abd09c1f8525797d006976ba/3286ce33bf634a7485257f5d005895cd?opendocument"/>
    <m/>
    <n v="0"/>
    <n v="0"/>
    <m/>
    <m/>
    <m/>
  </r>
  <r>
    <x v="18"/>
    <x v="10"/>
    <s v="Multilateral"/>
    <n v="27771293.897224408"/>
    <s v="CORREDOR LOGISTICO INTEGRADO DE NACALA SA "/>
    <s v="Nacala Corridor"/>
    <s v="http://ifcext.ifc.org/ifcext/spiwebsite1.nsf/651aeb16abd09c1f8525797d006976ba/3286ce33bf634a7485257f5d005895cd?opendocument"/>
    <x v="10"/>
    <s v="Other/Unspecified"/>
    <x v="10"/>
    <x v="10"/>
    <s v="The proposed investment consists of the project for the construction and operation of a 912 km long railway line (greenfield as well as brownfield) extending from the Tete region in north-west Mozambique through Malawi to a greenfield deep sea coal terminal in Nacala-a-Velha on the north east coast of Mozambique (the “Nacala Corridor Project”). The project will enable evacuation and export of the coal produced by the Moatize coal mine operated by Vale Moçambique, a large Brazilian mining conglomerate, in the Tete region of Mozambique."/>
    <m/>
    <m/>
    <n v="0"/>
    <n v="0"/>
    <m/>
    <m/>
    <m/>
  </r>
  <r>
    <x v="4"/>
    <x v="6"/>
    <s v="Export Credit Agency"/>
    <n v="23479188.900747065"/>
    <m/>
    <s v="Coal-fired power plants: core components for flue gas cleaning system of the Aghios Dimitrios power plant"/>
    <m/>
    <x v="16"/>
    <s v="Coal Power Plant"/>
    <x v="6"/>
    <x v="10"/>
    <s v="Parliamentary Inquiry March 2016. 22 euros"/>
    <m/>
    <m/>
    <n v="0"/>
    <n v="0"/>
    <m/>
    <m/>
    <m/>
  </r>
  <r>
    <x v="4"/>
    <x v="6"/>
    <s v="Export Credit Agency"/>
    <n v="21344717.18249733"/>
    <m/>
    <s v="Coal-fired power plants: pipes to equip vessels"/>
    <m/>
    <x v="1"/>
    <s v="Coal Power Plant"/>
    <x v="6"/>
    <x v="10"/>
    <s v="Parliamentary Inquiry March 2016. 20 euros"/>
    <m/>
    <m/>
    <n v="0"/>
    <n v="0"/>
    <m/>
    <m/>
    <m/>
  </r>
  <r>
    <x v="3"/>
    <x v="5"/>
    <s v="Other Public Financer"/>
    <n v="21000000"/>
    <s v="Adaro Energy"/>
    <s v="KalSel Coal-Fired Power Plant (200MW)"/>
    <m/>
    <x v="2"/>
    <s v="Other/Unspecified"/>
    <x v="11"/>
    <x v="10"/>
    <m/>
    <s v="https://ijglobal.com/data/transaction/32622/kalsel-coal-fired-power-plant-200mw"/>
    <n v="100"/>
    <n v="0.11380727319"/>
    <n v="4.5522909275999996"/>
    <m/>
    <s v="KDB and K-Sure"/>
    <s v="Financing"/>
  </r>
  <r>
    <x v="4"/>
    <x v="6"/>
    <s v="Export Credit Agency"/>
    <n v="19210245.464247599"/>
    <m/>
    <s v="Coalmining machinery: crusher, spreader, portal scraper, equipment "/>
    <m/>
    <x v="19"/>
    <s v="Coal Mining"/>
    <x v="5"/>
    <x v="10"/>
    <s v="Parliamentary Inquiry March 2016. 18m euros"/>
    <m/>
    <m/>
    <n v="0"/>
    <n v="0"/>
    <m/>
    <m/>
    <m/>
  </r>
  <r>
    <x v="4"/>
    <x v="6"/>
    <s v="Export Credit Agency"/>
    <n v="17075773.745997865"/>
    <m/>
    <s v="Equipment for coal mining: Extension of Strebbausystems for_x000a_Narrabri mine"/>
    <m/>
    <x v="22"/>
    <s v="Coal Mining"/>
    <x v="5"/>
    <x v="10"/>
    <s v="Parliamentary Inquiry March 2016. 16m euros"/>
    <m/>
    <m/>
    <n v="0"/>
    <n v="0"/>
    <m/>
    <m/>
    <m/>
  </r>
  <r>
    <x v="6"/>
    <x v="17"/>
    <s v="Multilateral"/>
    <n v="16340795.099972466"/>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2"/>
    <x v="17"/>
    <s v="Multilateral"/>
    <n v="13678572.134149428"/>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m/>
    <n v="10"/>
    <n v="1.1380727318999998E-2"/>
    <n v="0.45522909275999995"/>
    <m/>
    <m/>
    <m/>
  </r>
  <r>
    <x v="17"/>
    <x v="17"/>
    <s v="Multilateral"/>
    <n v="12372773.261980582"/>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m/>
    <n v="10"/>
    <n v="1.1380727318999998E-2"/>
    <n v="0.45522909275999995"/>
    <m/>
    <m/>
    <m/>
  </r>
  <r>
    <x v="4"/>
    <x v="17"/>
    <s v="Multilateral"/>
    <n v="10274180.334447499"/>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9"/>
    <x v="17"/>
    <s v="Multilateral"/>
    <n v="9516499.8092293479"/>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7"/>
    <x v="17"/>
    <s v="Multilateral"/>
    <n v="9361267.1369461641"/>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10"/>
    <x v="17"/>
    <s v="Multilateral"/>
    <n v="6057585.5720588285"/>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4"/>
    <x v="14"/>
    <s v="Other Public Financer"/>
    <n v="5316000"/>
    <s v="Not identified"/>
    <s v="Energy Sector Programme III (district heating)"/>
    <m/>
    <x v="23"/>
    <s v="Other/Unspecified"/>
    <x v="16"/>
    <x v="10"/>
    <s v="PENDING avg exchange rate for 2014 1.329"/>
    <m/>
    <m/>
    <n v="0"/>
    <n v="0"/>
    <m/>
    <m/>
    <m/>
  </r>
  <r>
    <x v="8"/>
    <x v="17"/>
    <s v="Multilateral"/>
    <n v="4375068.6836084174"/>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4"/>
    <x v="6"/>
    <s v="Export Credit Agency"/>
    <n v="4268943.4364994662"/>
    <m/>
    <s v="Coalmining machinery: expansion of a longwall mining system for the_x000a_Narrabri mine"/>
    <m/>
    <x v="22"/>
    <s v="Coal Mining"/>
    <x v="5"/>
    <x v="10"/>
    <s v="Parliamentary Inquiry March 2016. 4m euros"/>
    <m/>
    <m/>
    <n v="0"/>
    <n v="0"/>
    <m/>
    <m/>
    <m/>
  </r>
  <r>
    <x v="4"/>
    <x v="6"/>
    <s v="Export Credit Agency"/>
    <n v="3201707.5773745994"/>
    <m/>
    <s v="Coalmining machinery: folding shovel excavator"/>
    <m/>
    <x v="1"/>
    <s v="Coal Mining"/>
    <x v="5"/>
    <x v="10"/>
    <s v="Parliamentary Inquiry March 2016. 3m euros"/>
    <m/>
    <m/>
    <n v="0"/>
    <n v="0"/>
    <m/>
    <m/>
    <m/>
  </r>
  <r>
    <x v="0"/>
    <x v="17"/>
    <s v="Multilateral"/>
    <n v="2869431.3799817995"/>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4"/>
    <x v="6"/>
    <s v="Export Credit Agency"/>
    <n v="2134471.7182497331"/>
    <m/>
    <s v="Coal-fired power plants: pipes to equip vessels"/>
    <m/>
    <x v="1"/>
    <s v="Coal Power Plant"/>
    <x v="6"/>
    <x v="10"/>
    <s v="Parliamentary Inquiry March 2016. 2m euros"/>
    <m/>
    <m/>
    <n v="0"/>
    <n v="0"/>
    <m/>
    <m/>
    <m/>
  </r>
  <r>
    <x v="3"/>
    <x v="17"/>
    <s v="Multilateral"/>
    <n v="1187917.7352498479"/>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m/>
    <n v="10"/>
    <n v="1.1380727318999998E-2"/>
    <n v="0.45522909275999995"/>
    <m/>
    <m/>
    <m/>
  </r>
  <r>
    <x v="4"/>
    <x v="6"/>
    <s v="Export Credit Agency"/>
    <n v="1067235.8591248665"/>
    <m/>
    <s v="Coal-fired power plants:  mixer for ash conditioning incl. services"/>
    <m/>
    <x v="1"/>
    <s v="Coal Power Plant"/>
    <x v="6"/>
    <x v="10"/>
    <s v="Parliamentary Inquiry March 2016. 1m euros"/>
    <m/>
    <m/>
    <n v="0"/>
    <n v="0"/>
    <m/>
    <m/>
    <m/>
  </r>
  <r>
    <x v="4"/>
    <x v="6"/>
    <s v="Export Credit Agency"/>
    <n v="1067235.8591248665"/>
    <m/>
    <s v="Coalmining machinery: hydraulic control for shields"/>
    <m/>
    <x v="1"/>
    <s v="Coal Mining"/>
    <x v="5"/>
    <x v="10"/>
    <s v="Parliamentary Inquiry March 2016. 1m euros"/>
    <m/>
    <m/>
    <n v="0"/>
    <n v="0"/>
    <m/>
    <m/>
    <m/>
  </r>
  <r>
    <x v="4"/>
    <x v="6"/>
    <s v="Export Credit Agency"/>
    <n v="1067235.8591248665"/>
    <m/>
    <s v="Coalmining machinery: tracked loaders"/>
    <m/>
    <x v="1"/>
    <s v="Coal Mining"/>
    <x v="5"/>
    <x v="10"/>
    <s v="Parliamentary Inquiry March 2016. 1m euros"/>
    <m/>
    <m/>
    <n v="0"/>
    <n v="0"/>
    <m/>
    <m/>
    <m/>
  </r>
  <r>
    <x v="19"/>
    <x v="17"/>
    <s v="Multilateral"/>
    <n v="941930.09274293622"/>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18"/>
    <x v="17"/>
    <s v="Multilateral"/>
    <n v="845464.35058336309"/>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5"/>
    <x v="17"/>
    <s v="Multilateral"/>
    <n v="645124.29726636154"/>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12"/>
    <x v="17"/>
    <s v="Multilateral"/>
    <n v="505789.17929107405"/>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m/>
    <n v="10"/>
    <n v="1.1380727318999998E-2"/>
    <n v="0.45522909275999995"/>
    <m/>
    <m/>
    <m/>
  </r>
  <r>
    <x v="6"/>
    <x v="10"/>
    <s v="Multilateral"/>
    <n v="424243.91438028892"/>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2"/>
    <x v="10"/>
    <s v="Multilateral"/>
    <n v="355126.59878676734"/>
    <s v="Vale"/>
    <s v="Nacala Rail and Port Project"/>
    <m/>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afdb.org/fileadmin/uploads/afdb/Documents/Project-and-Operations/Project_Brief_Nacala_Rail___Port__Project__Multinational_2015.pdf"/>
    <m/>
    <n v="0"/>
    <n v="0"/>
    <n v="1.4666666666666666"/>
    <m/>
    <m/>
  </r>
  <r>
    <x v="17"/>
    <x v="10"/>
    <s v="Multilateral"/>
    <n v="321225.11348369229"/>
    <s v="Vale"/>
    <s v="Nacala Rail and Port Project"/>
    <m/>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afdb.org/fileadmin/uploads/afdb/Documents/Project-and-Operations/Project_Brief_Nacala_Rail___Port__Project__Multinational_2015.pdf"/>
    <m/>
    <n v="0"/>
    <n v="0"/>
    <n v="1.4666666666666666"/>
    <m/>
    <m/>
  </r>
  <r>
    <x v="4"/>
    <x v="6"/>
    <s v="Export Credit Agency"/>
    <n v="320170.75773745996"/>
    <m/>
    <s v="Coalmining machinery: pit prop and unlockable non-return valve"/>
    <m/>
    <x v="9"/>
    <s v="Coal Mining"/>
    <x v="5"/>
    <x v="10"/>
    <s v="Parliamentary Inquiry March 2016. 0.3m euros"/>
    <m/>
    <m/>
    <n v="0"/>
    <n v="0"/>
    <m/>
    <m/>
    <m/>
  </r>
  <r>
    <x v="4"/>
    <x v="10"/>
    <s v="Multilateral"/>
    <n v="266740.90553539456"/>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14"/>
    <x v="17"/>
    <s v="Multilateral"/>
    <n v="249730.51330270301"/>
    <s v="ACWA Power"/>
    <s v="Coal-fired power plant in Moatize (300MW)"/>
    <m/>
    <x v="10"/>
    <s v="Coal Power Plant"/>
    <x v="7"/>
    <x v="10"/>
    <s v="The total finance amount is $500,000,000; total power plant size is 300 MW._x000a__x000a_Hasn't been decided eventually who will finance the project. Current candidates include KEXIM and African Development Bank. For the purpose of our calculation, the total finance and power plant size are evenly divided among KEXIM and African Development Bank, each with $250000000. _x000a__x000a_African Development Bank's finance are divided among its members based on their shares in the bank. The power plant size and emission responsible of African Development Bank are divided evenly among its members. "/>
    <s v="http://www.cp-africa.com/2016/03/24/mozambique-coal-fired-power-project-seek-lenders/"/>
    <n v="10"/>
    <n v="1.1380727318999998E-2"/>
    <n v="0.45522909275999995"/>
    <m/>
    <m/>
    <m/>
  </r>
  <r>
    <x v="7"/>
    <x v="10"/>
    <s v="Multilateral"/>
    <n v="243039.61890717869"/>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10"/>
    <x v="10"/>
    <s v="Multilateral"/>
    <n v="157268.59060781746"/>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8"/>
    <x v="10"/>
    <s v="Multilateral"/>
    <n v="113586.65552447815"/>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0"/>
    <x v="10"/>
    <s v="Multilateral"/>
    <n v="74496.913598235129"/>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3"/>
    <x v="10"/>
    <s v="Multilateral"/>
    <n v="30841.024985682147"/>
    <s v="Vale"/>
    <s v="Nacala Rail and Port Project"/>
    <m/>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afdb.org/fileadmin/uploads/afdb/Documents/Project-and-Operations/Project_Brief_Nacala_Rail___Port__Project__Multinational_2015.pdf"/>
    <m/>
    <n v="0"/>
    <n v="0"/>
    <n v="1.4666666666666666"/>
    <m/>
    <m/>
  </r>
  <r>
    <x v="19"/>
    <x v="10"/>
    <s v="Multilateral"/>
    <n v="24454.630706343367"/>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18"/>
    <x v="10"/>
    <s v="Multilateral"/>
    <n v="21950.16236150463"/>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5"/>
    <x v="10"/>
    <s v="Multilateral"/>
    <n v="16748.882502943539"/>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12"/>
    <x v="10"/>
    <s v="Multilateral"/>
    <n v="13131.428425658467"/>
    <s v="Vale"/>
    <s v="Nacala Rail and Port Project"/>
    <m/>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afdb.org/fileadmin/uploads/afdb/Documents/Project-and-Operations/Project_Brief_Nacala_Rail___Port__Project__Multinational_2015.pdf"/>
    <m/>
    <n v="0"/>
    <n v="0"/>
    <n v="1.4666666666666666"/>
    <m/>
    <m/>
  </r>
  <r>
    <x v="14"/>
    <x v="10"/>
    <s v="Multilateral"/>
    <n v="6483.567651118522"/>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9"/>
    <x v="10"/>
    <s v="Multilateral"/>
    <n v="1494.5091960406137"/>
    <s v="Vale"/>
    <s v="Nacala Rail and Port Project"/>
    <s v="http://www.afdb.org/fileadmin/uploads/afdb/Documents/Project-and-Operations/Project_Brief_Nacala_Rail___Port__Project__Multinational_2015.pdf"/>
    <x v="24"/>
    <s v="Other/Unspecified"/>
    <x v="17"/>
    <x v="10"/>
    <s v="Coal-focused rail and port / terminal infrastructure project. The project will increase coal transportation capacity to up to 22  MTPA. _x000a__x000a_An IFC disclosure document describes the project as almost exclusively coal-focused: &quot;The project will enable evacuation and export of the coal produced by the Moatize coal mine.&quot; "/>
    <s v="http://www.vale.com/EN/aboutvale/news/Pages/african-development-bank-aprova-suporte-corredor-logistico-nacala.aspx_x000a_http://www.reuters.com/article/nacala-vale-sa-idUSE5N12E00820151218_x000a_http://www.afdb.org/fileadmin/uploads/afdb/Documents/Project-and-Operations/Project_Brief_Nacala_Rail___Port__Project__Multinational_2015.pdf_x000a_http://ifcextapps.ifc.org/IFCExt%5Cspiwebsite1.nsf/0/3286CE33BF634A7485257F5D005895CD"/>
    <m/>
    <n v="0"/>
    <n v="0"/>
    <n v="1.4666666666666666"/>
    <m/>
    <m/>
  </r>
  <r>
    <x v="2"/>
    <x v="3"/>
    <s v="Export Credit Agency"/>
    <n v="0"/>
    <s v="Toshiba"/>
    <s v="Darlipali (1600MW)"/>
    <m/>
    <x v="25"/>
    <s v="Coal Power Plant"/>
    <x v="7"/>
    <x v="10"/>
    <m/>
    <m/>
    <n v="1600"/>
    <n v="1.82091637104"/>
    <n v="72.836654841599994"/>
    <m/>
    <m/>
    <m/>
  </r>
  <r>
    <x v="2"/>
    <x v="3"/>
    <s v="Export Credit Agency"/>
    <n v="0"/>
    <s v="MHPS"/>
    <s v="Tanda"/>
    <m/>
    <x v="25"/>
    <s v="Coal Power Plant"/>
    <x v="3"/>
    <x v="10"/>
    <m/>
    <s v="http://www.mhps.com/news/20150304.html"/>
    <n v="1320"/>
    <n v="1.5022560061080001"/>
    <n v="60.090240244320007"/>
    <m/>
    <m/>
    <m/>
  </r>
  <r>
    <x v="2"/>
    <x v="3"/>
    <s v="Export Credit Agency"/>
    <n v="0"/>
    <s v="Mitsui Co, Chubu EP, Toshiba"/>
    <s v="Track 3B (Jimah)"/>
    <m/>
    <x v="26"/>
    <s v="Coal Power Plant"/>
    <x v="7"/>
    <x v="10"/>
    <s v="Total finance  2,845,203,200; USC"/>
    <m/>
    <n v="2000"/>
    <n v="2.2761454638000003"/>
    <n v="91.045818552000014"/>
    <m/>
    <m/>
    <m/>
  </r>
  <r>
    <x v="2"/>
    <x v="3"/>
    <s v="Export Credit Agency"/>
    <n v="0"/>
    <s v="GDF Suez, Sojitz, POSCO and Newcom"/>
    <s v="Ulaanbaatar CHP5 Power Plant (463.5MW)"/>
    <s v="https://www.adb.org/projects/46915-014/main#project-pds"/>
    <x v="21"/>
    <s v="Coal Power Plant"/>
    <x v="7"/>
    <x v="10"/>
    <s v="The financing will be used for the construction of the CHP5 coal fired combined heat and power plant in Mongolia's capital, Ulaanbaatar. GDF Suez (30%), Sojitz(30%), POSCO(30%) and Newcom(10%) are the sponsors of the project.  The Central Region Electricity Transmission Company will be the offtaker for the power under a 25-year PPA, while the Central Region Electricity Transmission Company will purchase the heat. The total cost of the project is estimated at $1.2billion The operations are expected to begin in 2017._x000a__x000a_Only the financers are known at this point. The specific amounts are unknown. "/>
    <s v="https://ijglobal.com/data/transaction/31251/ulaanbaatar-chp5-power-plant"/>
    <n v="115.875"/>
    <n v="0.1318741778089125"/>
    <n v="5.2749671123565003"/>
    <m/>
    <m/>
    <m/>
  </r>
  <r>
    <x v="2"/>
    <x v="15"/>
    <s v="Other Public Financer"/>
    <n v="0"/>
    <m/>
    <s v="Bac Lieu Power Plant (1200MW)"/>
    <m/>
    <x v="12"/>
    <s v="Coal Power Plant"/>
    <x v="6"/>
    <x v="10"/>
    <s v="USC"/>
    <m/>
    <n v="1200"/>
    <n v="1.36568727828"/>
    <n v="54.627491131200003"/>
    <m/>
    <m/>
    <m/>
  </r>
  <r>
    <x v="2"/>
    <x v="15"/>
    <s v="Other Public Financer"/>
    <n v="0"/>
    <m/>
    <s v="Barauni Power Plant (660MW)"/>
    <m/>
    <x v="25"/>
    <s v="Coal Power Plant"/>
    <x v="6"/>
    <x v="10"/>
    <m/>
    <m/>
    <n v="660"/>
    <n v="0.75112800305400007"/>
    <n v="30.045120122160004"/>
    <m/>
    <m/>
    <m/>
  </r>
  <r>
    <x v="2"/>
    <x v="15"/>
    <s v="Other Public Financer"/>
    <n v="0"/>
    <m/>
    <s v="Indramayu (1000MW)"/>
    <m/>
    <x v="2"/>
    <s v="Coal Power Plant"/>
    <x v="6"/>
    <x v="10"/>
    <m/>
    <m/>
    <n v="1000"/>
    <n v="1.1380727319000001"/>
    <n v="45.522909276000007"/>
    <m/>
    <m/>
    <m/>
  </r>
  <r>
    <x v="2"/>
    <x v="15"/>
    <s v="Other Public Financer"/>
    <n v="0"/>
    <m/>
    <s v="Song Hau 1"/>
    <m/>
    <x v="12"/>
    <s v="Coal Power Plant"/>
    <x v="6"/>
    <x v="10"/>
    <m/>
    <m/>
    <n v="1200"/>
    <n v="1.36568727828"/>
    <n v="54.627491131200003"/>
    <m/>
    <m/>
    <m/>
  </r>
  <r>
    <x v="2"/>
    <x v="4"/>
    <s v="Export Credit Agency"/>
    <n v="0"/>
    <s v="Vietnam Electricity Group (EVN)"/>
    <s v="Vinh Tan 4 Coal-Fired Thermal Power Plant (600MW)"/>
    <s v="http://www.jbic.go.jp/en/efforts/environment/projects/48375 "/>
    <x v="12"/>
    <s v="Coal Power Plant"/>
    <x v="6"/>
    <x v="10"/>
    <s v="Ref No. is 14-074. The project was approved by JBIC in July 2014, but the NEXI is an insurance provider. An insurance approval is usually at the later stage than a loan approval."/>
    <s v="https://ijglobal.com/data/transaction/31707/vinh-tan-4-coal-fired-thermal-power-plant-1200mw"/>
    <n v="200"/>
    <n v="0.22761454638"/>
    <n v="9.1045818551999993"/>
    <m/>
    <m/>
    <m/>
  </r>
  <r>
    <x v="2"/>
    <x v="4"/>
    <s v="Export Credit Agency"/>
    <n v="0"/>
    <m/>
    <s v="Darlipali (1600MW)"/>
    <m/>
    <x v="25"/>
    <s v="Coal Power Plant"/>
    <x v="6"/>
    <x v="10"/>
    <s v="Ref No. is 14-083. "/>
    <m/>
    <n v="1600"/>
    <n v="1.82091637104"/>
    <n v="72.836654841599994"/>
    <m/>
    <m/>
    <m/>
  </r>
  <r>
    <x v="2"/>
    <x v="4"/>
    <s v="Export Credit Agency"/>
    <n v="0"/>
    <m/>
    <s v="Tanda"/>
    <m/>
    <x v="25"/>
    <s v="Coal Power Plant"/>
    <x v="6"/>
    <x v="10"/>
    <s v="Ref No. is 14-084. "/>
    <s v="http://www.nexi.go.jp/en/environment/information/index.html"/>
    <n v="1320"/>
    <n v="1.5022560061080001"/>
    <n v="60.090240244320007"/>
    <m/>
    <m/>
    <m/>
  </r>
  <r>
    <x v="2"/>
    <x v="4"/>
    <s v="Export Credit Agency"/>
    <n v="0"/>
    <m/>
    <s v="Ulaanbaatar CHP5 Power Plant (463.5MW)"/>
    <s v="https://www.adb.org/projects/46915-014/main#project-pds"/>
    <x v="21"/>
    <s v="Coal Power Plant"/>
    <x v="6"/>
    <x v="10"/>
    <s v="Ref No. is 14-082. "/>
    <s v="https://ijglobal.com/data/transaction/31251/ulaanbaatar-chp5-power-plant"/>
    <n v="450"/>
    <n v="0.51213272935499998"/>
    <n v="20.485309174199998"/>
    <m/>
    <m/>
    <m/>
  </r>
  <r>
    <x v="20"/>
    <x v="18"/>
    <s v="Multilateral"/>
    <n v="0"/>
    <s v="GDF Suez, Sojitz, POSCO and Newcom"/>
    <s v="Ulaanbaatar CHP5 Power Plant (463.5MW)"/>
    <s v="https://www.adb.org/projects/46915-014/main#project-pds"/>
    <x v="21"/>
    <s v="Coal Power Plant"/>
    <x v="7"/>
    <x v="10"/>
    <s v="The financing will be used for the construction of the CHP5 coal fired combined heat and power plant in Mongolia's capital, Ulaanbaatar. GDF Suez (30%), Sojitz(30%), POSCO(30%) and Newcom(10%) are the sponsors of the project.  The Central Region Electricity Transmission Company will be the offtaker for the power under a 25-year PPA, while the Central Region Electricity Transmission Company will purchase the heat. The total cost of the project is estimated at $1.2billion The operations are expected to begin in 2017._x000a__x000a_Only the financers are known at this point. The specific amounts are unknown. "/>
    <s v="https://ijglobal.com/data/transaction/31251/ulaanbaatar-chp5-power-plant"/>
    <n v="115.875"/>
    <n v="0.1318741778089125"/>
    <n v="5.2749671123565003"/>
    <m/>
    <m/>
    <m/>
  </r>
  <r>
    <x v="20"/>
    <x v="19"/>
    <s v="Multilateral"/>
    <n v="0"/>
    <s v="GDF Suez, Sojitz, POSCO and Newcom"/>
    <s v="Ulaanbaatar CHP5 Power Plant (463.5MW)"/>
    <s v="https://www.adb.org/projects/46915-014/main#project-pds"/>
    <x v="21"/>
    <s v="Coal Power Plant"/>
    <x v="7"/>
    <x v="10"/>
    <s v="The financing will be used for the construction of the CHP5 coal fired combined heat and power plant in Mongolia's capital, Ulaanbaatar. GDF Suez (30%), Sojitz(30%), POSCO(30%) and Newcom(10%) are the sponsors of the project.  The Central Region Electricity Transmission Company will be the offtaker for the power under a 25-year PPA, while the Central Region Electricity Transmission Company will purchase the heat. The total cost of the project is estimated at $1.2billion The operations are expected to begin in 2017._x000a_EBRD RESPONSE; No decision/approval "/>
    <s v="https://ijglobal.com/data/transaction/31251/ulaanbaatar-chp5-power-plant"/>
    <n v="115.875"/>
    <n v="0.1318741778089125"/>
    <n v="5.2749671123565003"/>
    <m/>
    <m/>
    <m/>
  </r>
  <r>
    <x v="3"/>
    <x v="13"/>
    <s v="Export Credit Agency"/>
    <n v="0"/>
    <s v="GDF Suez, Sojitz, POSCO and Newcom"/>
    <s v="Ulaanbaatar CHP5 Power Plant (463.5MW)"/>
    <s v="https://www.adb.org/projects/46915-014/main#project-pds"/>
    <x v="21"/>
    <s v="Coal Power Plant"/>
    <x v="7"/>
    <x v="10"/>
    <s v="The financing will be used for the construction of the CHP5 coal fired combined heat and power plant in Mongolia's capital, Ulaanbaatar. GDF Suez (30%), Sojitz(30%), POSCO(30%) and Newcom(10%) are the sponsors of the project.  The Central Region Electricity Transmission Company will be the offtaker for the power under a 25-year PPA, while the Central Region Electricity Transmission Company will purchase the heat. The total cost of the project is estimated at $1.2billion The operations are expected to begin in 2017._x000a__x000a_Only the financers are known at this point. The specific amounts are unknown. "/>
    <s v="https://ijglobal.com/data/transaction/31251/ulaanbaatar-chp5-power-plant"/>
    <n v="115.875"/>
    <n v="0.1318741778089125"/>
    <n v="5.2749671123565003"/>
    <m/>
    <m/>
    <m/>
  </r>
  <r>
    <x v="3"/>
    <x v="11"/>
    <s v="Export Credit Agency"/>
    <n v="0"/>
    <s v="Not identified"/>
    <s v="Song hau 1 Project"/>
    <m/>
    <x v="12"/>
    <s v="Coal Power Plant"/>
    <x v="7"/>
    <x v="10"/>
    <s v="The project uses supercritical pressure, coal-fired steam power generation technology and key components of the project is as follows: a power plant with 2 * 600 MW turbine units (each unit includes a turbine, a boller and a generator) and the auxiliaries. The total project value is 2 billion, but specific amount from financers is unknown"/>
    <s v="https://ijglobal.com/data/transaction/35185/song-hau-1-coal-fired-power-plant-1200mw"/>
    <n v="1200"/>
    <n v="1.36568727828"/>
    <n v="54.627491131200003"/>
    <m/>
    <m/>
    <m/>
  </r>
  <r>
    <x v="3"/>
    <x v="20"/>
    <s v="Export Credit Agency"/>
    <n v="0"/>
    <s v="Marubeni, Korea Midland Power, Samtan and PT Indika Energy"/>
    <s v="Cirebon IPP expansion Phase 3 (1000MW)"/>
    <s v="https://ijglobal.com/articles/100606/marubeni-signs-mou-for-cirebon-3-coal-fired"/>
    <x v="2"/>
    <s v="Coal Power Plant"/>
    <x v="3"/>
    <x v="10"/>
    <s v="The financing will be used for the third expansion of 1000MW of Cirebon independent coal-fired power plant, located next to the existing 660MW coal-fired Cirebon unit, which has been in operation since 2012. The plant is located in Indonesia's West Java province on Java Island. The sponsors of the project are: Marubeni, Korea Midland Power, Samtan and PT Indika Energi. The total costs of the construction of  the third 1,000MW coal-fired unit is estimated to be roughly $2 billion."/>
    <m/>
    <n v="1000"/>
    <n v="1.1380727319000001"/>
    <n v="45.522909276000007"/>
    <m/>
    <s v="Yes"/>
    <s v="Financing"/>
  </r>
  <r>
    <x v="6"/>
    <x v="21"/>
    <s v="Export Credit Agency"/>
    <n v="0"/>
    <s v="Orion Power Khulna"/>
    <s v="Orion coal plant  (565MW)"/>
    <s v="http://www.foe.org/news/news-releases/2016-06-over-150000-call-on-us-export-import-bank-to-reject-coal"/>
    <x v="6"/>
    <s v="Coal Power Plant"/>
    <x v="7"/>
    <x v="10"/>
    <s v="EXIM RESPONSE: EXIM does not have a pending application for this project."/>
    <s v="http://www.sourcewatch.org/index.php/Khulna_power_station_(Orion)"/>
    <n v="565"/>
    <n v="0.64301109352350005"/>
    <n v="25.720443740940002"/>
    <m/>
    <m/>
    <m/>
  </r>
  <r>
    <x v="6"/>
    <x v="21"/>
    <s v="Export Credit Agency"/>
    <n v="0"/>
    <s v="Bangladesh India Friendship Power Company (BIFPC)"/>
    <s v="Rampal coal plant"/>
    <s v="http://www.foe.org/news/news-releases/2016-06-over-150000-call-on-us-export-import-bank-to-reject-coal"/>
    <x v="6"/>
    <s v="Coal Power Plant"/>
    <x v="7"/>
    <x v="10"/>
    <s v="EXIM RESPONSE: EXIM does not have a pending application for this project."/>
    <s v="https://en.wikipedia.org/wiki/Rampal_Power_Station_(Proposed)"/>
    <n v="1320"/>
    <n v="1.5022560061080001"/>
    <n v="60.090240244320007"/>
    <m/>
    <m/>
    <m/>
  </r>
  <r>
    <x v="0"/>
    <x v="7"/>
    <s v="Export Credit Agency"/>
    <m/>
    <s v="Government of Malawi"/>
    <s v="Kamwamba Power Plant, Zalewa Phase II (700MW)"/>
    <s v="http://www.sourcewatch.org/index.php/Kamwamba_power_station_x000a_http://climatepolicyinitiative.org/wp-content/uploads/2015/11/Slowing-the-Growth-of-Coal-Power-Outside-China.pdf"/>
    <x v="13"/>
    <s v="Coal Power Plant"/>
    <x v="7"/>
    <x v="10"/>
    <m/>
    <m/>
    <n v="700"/>
    <n v="0.79665091232999996"/>
    <n v="31.866036493199999"/>
    <m/>
    <m/>
    <m/>
  </r>
  <r>
    <x v="0"/>
    <x v="22"/>
    <s v="Export Credit Agency"/>
    <n v="1492000000"/>
    <s v="Hub Power Company"/>
    <s v="HUBCO POWER STATION -_x000a_CHINA-PAKISTAN ECONOMIC_x000a_CORRIDOR (1320MW)"/>
    <s v="http://www.dawn.com/news/1158111"/>
    <x v="0"/>
    <s v="Coal Power Plant"/>
    <x v="7"/>
    <x v="10"/>
    <m/>
    <s v="http://www.hubpower.com/our-business/hub-power-station/"/>
    <n v="1320"/>
    <n v="1.5022560061080001"/>
    <n v="60.090240244320007"/>
    <m/>
    <m/>
    <m/>
  </r>
  <r>
    <x v="2"/>
    <x v="15"/>
    <s v="Other Public Financer"/>
    <m/>
    <s v="Lakhra Power Generation Company Limited (GENCO-IV)"/>
    <s v="Lakhra Power Station"/>
    <s v="https://www.jica.go.jp/english/our_work/social_environmental/id/asia/south/pakistan/c8h0vm000090s2bv.html"/>
    <x v="0"/>
    <s v="Coal Power Plant"/>
    <x v="7"/>
    <x v="10"/>
    <s v="Moved from Thar to Lakhra"/>
    <s v="http://www.sourcewatch.org/index.php/Lakhra_power_station"/>
    <n v="150"/>
    <n v="0.170710909785"/>
    <n v="6.8284363914000004"/>
    <m/>
    <m/>
    <m/>
  </r>
  <r>
    <x v="0"/>
    <x v="0"/>
    <s v="Other Public Financer"/>
    <n v="125000000"/>
    <s v=" The Port Qasim Electric Power Company "/>
    <s v="Port Qasim Port Power Station"/>
    <s v="https://ijglobal.com/data/transaction/33205/k-electric-port-qasim-coal-fired-power-plant-700mw"/>
    <x v="0"/>
    <s v="Coal Power Plant"/>
    <x v="7"/>
    <x v="10"/>
    <m/>
    <m/>
    <m/>
    <n v="0"/>
    <n v="0"/>
    <m/>
    <m/>
    <m/>
  </r>
  <r>
    <x v="2"/>
    <x v="3"/>
    <s v="Other Public Financer"/>
    <m/>
    <m/>
    <s v="Tanjun Jati B Unit 5 and 6 (2140MW)"/>
    <s v="http://www.jbic.go.jp/en/efforts/environment/projects/48649"/>
    <x v="2"/>
    <s v="Coal Power Plant"/>
    <x v="7"/>
    <x v="10"/>
    <s v="JBIC and NEXI "/>
    <m/>
    <n v="1070"/>
    <n v="1.2177378231330003"/>
    <n v="48.709512925320013"/>
    <m/>
    <m/>
    <m/>
  </r>
  <r>
    <x v="0"/>
    <x v="23"/>
    <s v="TBD"/>
    <m/>
    <s v="Sindh Engro Coal Mining Company"/>
    <s v="Thar Coal Power Plant Phase II"/>
    <s v="https://ijglobal.com/data/project/33056"/>
    <x v="0"/>
    <s v="Coal Power Plant"/>
    <x v="18"/>
    <x v="10"/>
    <s v="Thar coal mine is part of the China-Pakistan Economic Corridor (CPEC)."/>
    <m/>
    <n v="660"/>
    <n v="0.75112800305400007"/>
    <n v="30.045120122160004"/>
    <m/>
    <m/>
    <m/>
  </r>
  <r>
    <x v="0"/>
    <x v="7"/>
    <s v="Export Credit Agency"/>
    <m/>
    <m/>
    <m/>
    <s v="http://blogs.wsj.com/chinarealtime/2015/04/21/china-makes-multibillion-dollar-down-payment-on-silk-road-plans/"/>
    <x v="0"/>
    <s v="Other/Unspecified"/>
    <x v="10"/>
    <x v="10"/>
    <s v="Construct and update port infrastructure for the transporation of coal; total cost $1 billion"/>
    <s v="http://www.mofcom.gov.cn/article/i/jyjl/j/201603/20160301276410.shtml"/>
    <n v="1320"/>
    <n v="1.5022560061080001"/>
    <n v="60.090240244320007"/>
    <m/>
    <m/>
    <m/>
  </r>
  <r>
    <x v="2"/>
    <x v="4"/>
    <s v="Export Credit Agency"/>
    <m/>
    <m/>
    <s v="Tanjun Jati B Unit 5 and 6 (2140MW)"/>
    <s v="http://www.nexi.go.jp/en/environment/a/2016061404.html"/>
    <x v="2"/>
    <s v="Coal Power Plant"/>
    <x v="7"/>
    <x v="10"/>
    <s v="JBIC and NEXI "/>
    <m/>
    <n v="1070"/>
    <n v="1.2177378231330003"/>
    <n v="48.709512925320013"/>
    <m/>
    <m/>
    <m/>
  </r>
  <r>
    <x v="2"/>
    <x v="23"/>
    <s v="TBD"/>
    <m/>
    <s v="One Energy (CLP Group and Mitsubishi Corporation)"/>
    <s v="Vinh Tan 3 Coal Power Project (1980MW)"/>
    <s v="http://www.jbic.go.jp/en/efforts/environment/projects/48375 "/>
    <x v="12"/>
    <s v="Coal Power Plant"/>
    <x v="7"/>
    <x v="10"/>
    <m/>
    <s v="https://ijglobal.com/data/project/32674"/>
    <n v="1980"/>
    <n v="2.2533840091619997"/>
    <n v="90.135360366479986"/>
    <m/>
    <m/>
    <m/>
  </r>
  <r>
    <x v="17"/>
    <x v="24"/>
    <s v="Export Credit Agency"/>
    <m/>
    <s v="Makomo Resources Pty Ltd &amp; Bond Equipment Pty Ltd_x000a__x000a__x000a_"/>
    <s v="Supply and instilling a coal dense media separation plant"/>
    <m/>
    <x v="5"/>
    <s v="Other/Unspecified"/>
    <x v="1"/>
    <x v="10"/>
    <m/>
    <s v="http://www.ecic.co.za/About-Us/Projects"/>
    <m/>
    <n v="0"/>
    <n v="0"/>
    <m/>
    <m/>
    <m/>
  </r>
  <r>
    <x v="3"/>
    <x v="13"/>
    <s v="Export Credit Agency"/>
    <m/>
    <s v="PetroVietnam"/>
    <s v="Song hau 1 Project"/>
    <m/>
    <x v="12"/>
    <s v="Coal Power Plant"/>
    <x v="7"/>
    <x v="10"/>
    <s v="The project uses supercritical pressure, coal-fired steam power generation technology and key components of the project is as follows: a power plant with 2 * 600 MW turbine units (each unit includes a turbine, a boller and a generator) and the auxiliaries. The total project value is 2 billion, but specific amount from financers is unknown"/>
    <s v="https://ijglobal.com/data/transaction/35185/song-hau-1-coal-fired-power-plant-1200mw"/>
    <n v="1200"/>
    <n v="1.36568727828"/>
    <n v="54.627491131200003"/>
    <m/>
    <m/>
    <m/>
  </r>
  <r>
    <x v="6"/>
    <x v="21"/>
    <m/>
    <m/>
    <s v=" TBD"/>
    <s v="Long Phu 1 (1,200MW) Coal Fueled Power Plant (2x600 MW units)"/>
    <s v="http://www.exim.gov/policies/ex-im-bank-and-the-environment/pending-transactions"/>
    <x v="12"/>
    <m/>
    <x v="19"/>
    <x v="10"/>
    <s v=" AP089111XX"/>
    <m/>
    <m/>
    <n v="0"/>
    <n v="0"/>
    <m/>
    <m/>
    <m/>
  </r>
</pivotCacheRecords>
</file>

<file path=xl/pivotCache/pivotCacheRecords2.xml><?xml version="1.0" encoding="utf-8"?>
<pivotCacheRecords xmlns="http://schemas.openxmlformats.org/spreadsheetml/2006/main" xmlns:r="http://schemas.openxmlformats.org/officeDocument/2006/relationships" count="1256">
  <r>
    <x v="0"/>
    <x v="0"/>
    <x v="0"/>
    <n v="8262239.0443742936"/>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0"/>
    <x v="0"/>
    <x v="0"/>
    <n v="12228113.785673954"/>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0"/>
    <x v="1"/>
    <x v="0"/>
    <n v="23964.929383309503"/>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0"/>
    <x v="2"/>
    <x v="0"/>
    <n v="15813977.929710468"/>
    <x v="3"/>
    <x v="3"/>
    <s v="http://www.shiftthesubsidies.org/projects/713"/>
    <x v="3"/>
    <x v="0"/>
    <x v="0"/>
    <x v="3"/>
    <m/>
    <m/>
    <n v="60"/>
    <n v="6.8284363914000015E-2"/>
    <n v="2.7313745565600005"/>
    <m/>
    <m/>
    <m/>
    <m/>
  </r>
  <r>
    <x v="0"/>
    <x v="2"/>
    <x v="0"/>
    <n v="5378904.0577246491"/>
    <x v="4"/>
    <x v="4"/>
    <s v="http://www.shiftthesubsidies.org/projects/707"/>
    <x v="3"/>
    <x v="0"/>
    <x v="0"/>
    <x v="3"/>
    <m/>
    <m/>
    <n v="30"/>
    <n v="3.4142181957000008E-2"/>
    <n v="1.3656872782800002"/>
    <m/>
    <m/>
    <m/>
    <m/>
  </r>
  <r>
    <x v="0"/>
    <x v="0"/>
    <x v="0"/>
    <n v="132195.82470998869"/>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0"/>
    <x v="0"/>
    <x v="0"/>
    <n v="4544231.4744058615"/>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0"/>
    <x v="3"/>
    <x v="0"/>
    <n v="131004.73745529262"/>
    <x v="7"/>
    <x v="7"/>
    <s v="http://www.afdb.org/en/news-and-events/article/afdb-approves-eur-153-million-for-botswana-power-project-5255/"/>
    <x v="6"/>
    <x v="0"/>
    <x v="0"/>
    <x v="6"/>
    <m/>
    <m/>
    <n v="20"/>
    <n v="2.2761454637999997E-2"/>
    <n v="0.91045818551999991"/>
    <m/>
    <s v="Share of full power plant capacity of 600MW"/>
    <m/>
    <m/>
  </r>
  <r>
    <x v="0"/>
    <x v="3"/>
    <x v="0"/>
    <n v="2647036.6562411636"/>
    <x v="8"/>
    <x v="8"/>
    <s v="http://www.afdb.org/en/projects-and-operations/project-portfolio/project/p-za-faa-001/"/>
    <x v="7"/>
    <x v="0"/>
    <x v="0"/>
    <x v="7"/>
    <m/>
    <m/>
    <n v="160"/>
    <n v="0.18209163710399998"/>
    <n v="7.2836654841599993"/>
    <m/>
    <s v="Share of full power plant capacity of 4800, split with WBG"/>
    <m/>
    <m/>
  </r>
  <r>
    <x v="0"/>
    <x v="3"/>
    <x v="0"/>
    <n v="82960.476519157935"/>
    <x v="9"/>
    <x v="9"/>
    <s v="http://www.afdb.org/en/news-and-events/article/senior-loan-of-up-to-euro-55-million-to-sendou-power-project-in-senegal-5513/"/>
    <x v="8"/>
    <x v="0"/>
    <x v="0"/>
    <x v="7"/>
    <m/>
    <m/>
    <n v="8.3333333333333339"/>
    <n v="9.4839394324999996E-3"/>
    <n v="0.37935757729999997"/>
    <m/>
    <s v="Share of full power plant capacity of 125"/>
    <m/>
    <s v="Yes"/>
  </r>
  <r>
    <x v="0"/>
    <x v="1"/>
    <x v="0"/>
    <n v="24509.586869293809"/>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0"/>
    <x v="0"/>
    <x v="0"/>
    <n v="7436015.1399368644"/>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0"/>
    <x v="0"/>
    <x v="0"/>
    <n v="297440.60559747455"/>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0"/>
    <x v="1"/>
    <x v="0"/>
    <n v="16339.724579529206"/>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0"/>
    <x v="0"/>
    <x v="0"/>
    <n v="2428602.5447033797"/>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0"/>
    <x v="3"/>
    <x v="0"/>
    <n v="199784.4106421624"/>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0"/>
    <x v="3"/>
    <x v="0"/>
    <n v="1123787.3098621636"/>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0"/>
    <x v="1"/>
    <x v="0"/>
    <n v="2440.0655372096949"/>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0"/>
    <x v="1"/>
    <x v="0"/>
    <n v="9150.2457645363556"/>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0"/>
    <x v="4"/>
    <x v="0"/>
    <n v="1566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0"/>
    <x v="0"/>
    <x v="0"/>
    <n v="413111.95221871469"/>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0"/>
    <x v="4"/>
    <x v="0"/>
    <n v="87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0"/>
    <x v="0"/>
    <x v="0"/>
    <n v="768388.23112680926"/>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0"/>
    <x v="4"/>
    <x v="0"/>
    <n v="257519.99999999997"/>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0"/>
    <x v="1"/>
    <x v="0"/>
    <n v="4357.2598878744548"/>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0"/>
    <x v="4"/>
    <x v="0"/>
    <n v="26448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0"/>
    <x v="4"/>
    <x v="0"/>
    <n v="3297822"/>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0"/>
    <x v="1"/>
    <x v="0"/>
    <n v="45751.228822681776"/>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0"/>
    <x v="1"/>
    <x v="0"/>
    <n v="26361.422321640453"/>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0"/>
    <x v="0"/>
    <x v="0"/>
    <n v="462685.38648496044"/>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0"/>
    <x v="0"/>
    <x v="0"/>
    <n v="751863.75303806073"/>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0"/>
    <x v="1"/>
    <x v="0"/>
    <n v="435725.98878744547"/>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0"/>
    <x v="1"/>
    <x v="0"/>
    <n v="610.01638430242372"/>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0"/>
    <x v="4"/>
    <x v="0"/>
    <n v="495899.99999999994"/>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
    <x v="0"/>
    <x v="0"/>
    <n v="9221636.8761040196"/>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 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
    <x v="0"/>
    <x v="0"/>
    <n v="13648022.576633949"/>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
    <x v="1"/>
    <x v="0"/>
    <n v="13964.689640272554"/>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
    <x v="5"/>
    <x v="0"/>
    <n v="20265"/>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1"/>
    <x v="6"/>
    <x v="0"/>
    <n v="563181.56407228881"/>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
    <x v="6"/>
    <x v="0"/>
    <n v="710320.6248466596"/>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
    <m/>
    <m/>
    <n v="0"/>
    <n v="0"/>
    <m/>
    <m/>
    <m/>
    <m/>
  </r>
  <r>
    <x v="1"/>
    <x v="1"/>
    <x v="0"/>
    <n v="137153.20182410543"/>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
    <x v="5"/>
    <x v="0"/>
    <n v="52140397.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1"/>
    <x v="5"/>
    <x v="0"/>
    <n v="4081950"/>
    <x v="31"/>
    <x v="36"/>
    <s v="https://ijglobal.com/data/transaction/21533/khulna-ipp-150mw"/>
    <x v="23"/>
    <x v="0"/>
    <x v="0"/>
    <x v="34"/>
    <s v="ADB RESPONSE: This was not found in ADB project database."/>
    <m/>
    <m/>
    <n v="0"/>
    <n v="0"/>
    <m/>
    <m/>
    <m/>
    <m/>
  </r>
  <r>
    <x v="1"/>
    <x v="5"/>
    <x v="0"/>
    <n v="11580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1"/>
    <x v="5"/>
    <x v="0"/>
    <n v="1613094"/>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1"/>
    <x v="7"/>
    <x v="1"/>
    <n v="149600000"/>
    <x v="33"/>
    <x v="39"/>
    <m/>
    <x v="25"/>
    <x v="1"/>
    <x v="2"/>
    <x v="37"/>
    <m/>
    <s v="OECD data on export credit support for fossil fuel power plants and fossil fuel extraction projects, 9 October 2014"/>
    <m/>
    <n v="0"/>
    <n v="0"/>
    <m/>
    <m/>
    <m/>
    <m/>
  </r>
  <r>
    <x v="1"/>
    <x v="6"/>
    <x v="0"/>
    <n v="2023013.8552251642"/>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
    <x v="0"/>
    <x v="0"/>
    <n v="147546.19001766431"/>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
    <x v="5"/>
    <x v="0"/>
    <n v="52275015"/>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1"/>
    <x v="0"/>
    <x v="0"/>
    <n v="5071900.2818572102"/>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
    <x v="5"/>
    <x v="0"/>
    <n v="260550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1"/>
    <x v="5"/>
    <x v="0"/>
    <m/>
    <x v="36"/>
    <x v="42"/>
    <s v="http://www.adb.org/sites/default/files/projdocs/2008/41958-PHI-RRP.pdf_x000a_http://www.adb.org/sites/default/files/projdocs/2008/41958-PHI-RRP.pdf"/>
    <x v="5"/>
    <x v="0"/>
    <x v="1"/>
    <x v="40"/>
    <n v="6948000"/>
    <m/>
    <m/>
    <n v="0"/>
    <n v="0"/>
    <m/>
    <s v="ADB Project 41958-014: Source of Funding - ADB Ordinary Capital Resources. ADB does not include in its list.; Power Plant emission are divided evenly among the G20 countries that provided funding to the projects. "/>
    <s v="CANCELLED"/>
    <m/>
  </r>
  <r>
    <x v="1"/>
    <x v="7"/>
    <x v="1"/>
    <n v="28000000"/>
    <x v="37"/>
    <x v="43"/>
    <m/>
    <x v="27"/>
    <x v="1"/>
    <x v="2"/>
    <x v="41"/>
    <s v="Support to Anglo Coal Australia for coal mining activities"/>
    <s v="OECD data on export credit support for fossil fuel power plants and fossil fuel extraction projects, 9 October 2014"/>
    <m/>
    <n v="0"/>
    <n v="0"/>
    <m/>
    <m/>
    <m/>
    <m/>
  </r>
  <r>
    <x v="1"/>
    <x v="6"/>
    <x v="0"/>
    <n v="295360.02286287397"/>
    <x v="38"/>
    <x v="44"/>
    <s v="http://www.ebrd.com/work-with-us/projects/psd/mak.html"/>
    <x v="9"/>
    <x v="1"/>
    <x v="2"/>
    <x v="42"/>
    <s v="Expansion of Eldev coal mine. Mongolyn Alt Corporation (‘MAK’ or the ‘Company’), a medium-sized Mongolian mining company producing coal"/>
    <m/>
    <m/>
    <n v="0"/>
    <n v="0"/>
    <m/>
    <s v="Yes"/>
    <m/>
    <m/>
  </r>
  <r>
    <x v="1"/>
    <x v="5"/>
    <x v="0"/>
    <n v="28950"/>
    <x v="39"/>
    <x v="45"/>
    <m/>
    <x v="11"/>
    <x v="0"/>
    <x v="0"/>
    <x v="43"/>
    <s v="ADB Project 42074-012: Source of Funding - ADB/Technical Assistance Special Fund. technical and non-technical study of 600 MW waste-coal based utilization for power generation. ADB does not include in its list; Power Plant emission are divided evenly among the G20 countries that provided funding to the projects. "/>
    <m/>
    <n v="46.153846153846153"/>
    <n v="5.2526433780000006E-2"/>
    <n v="2.1010573512000001"/>
    <m/>
    <s v="Share of full power plant capacity of 600"/>
    <m/>
    <m/>
  </r>
  <r>
    <x v="1"/>
    <x v="1"/>
    <x v="0"/>
    <n v="140270.32004738055"/>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
    <x v="6"/>
    <x v="0"/>
    <n v="802790.26170306839"/>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1"/>
    <x v="7"/>
    <x v="1"/>
    <n v="81700000"/>
    <x v="41"/>
    <x v="47"/>
    <m/>
    <x v="9"/>
    <x v="1"/>
    <x v="2"/>
    <x v="45"/>
    <s v="Mining equipment for expansion of the Ukhaa Khudag coal mine in Mongolia; from EFIC 2011 Annual Report"/>
    <s v="OECD data on export credit support for fossil fuel power plants and fossil fuel extraction projects, 9 October 2014"/>
    <m/>
    <n v="0"/>
    <n v="0"/>
    <m/>
    <m/>
    <m/>
    <m/>
  </r>
  <r>
    <x v="1"/>
    <x v="7"/>
    <x v="1"/>
    <n v="29000000"/>
    <x v="37"/>
    <x v="43"/>
    <m/>
    <x v="27"/>
    <x v="1"/>
    <x v="2"/>
    <x v="45"/>
    <s v="Support for Anglo Coal Australia activities"/>
    <s v="OECD data on export credit support for fossil fuel power plants and fossil fuel extraction projects, 9 October 2014"/>
    <m/>
    <n v="0"/>
    <n v="0"/>
    <m/>
    <m/>
    <m/>
    <m/>
  </r>
  <r>
    <x v="1"/>
    <x v="6"/>
    <x v="0"/>
    <m/>
    <x v="42"/>
    <x v="48"/>
    <s v="http://www.ebrd.com/work-with-us/projects/psd/oltenia---turceni-rehabilitation.html"/>
    <x v="29"/>
    <x v="0"/>
    <x v="1"/>
    <x v="37"/>
    <m/>
    <m/>
    <n v="192.5"/>
    <n v="0.21907900089075"/>
    <n v="8.7631600356299995"/>
    <m/>
    <s v="Financing for the rehabilitation and modernisation of unit 6 of CET Oltenia’s Turceni lignite fired power plant"/>
    <s v="CANCELLED"/>
    <m/>
  </r>
  <r>
    <x v="1"/>
    <x v="6"/>
    <x v="0"/>
    <n v="546213.74091079435"/>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
    <m/>
    <n v="12.833333333333334"/>
    <n v="1.460526672605E-2"/>
    <n v="0.58421066904200003"/>
    <m/>
    <s v="Yes"/>
    <m/>
    <m/>
  </r>
  <r>
    <x v="1"/>
    <x v="6"/>
    <x v="0"/>
    <n v="347311.01866505621"/>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
    <x v="5"/>
    <x v="0"/>
    <n v="11580"/>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1"/>
    <x v="6"/>
    <x v="0"/>
    <n v="1304843.936620231"/>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
    <x v="7"/>
    <x v="1"/>
    <n v="22000000"/>
    <x v="47"/>
    <x v="53"/>
    <m/>
    <x v="27"/>
    <x v="1"/>
    <x v="2"/>
    <x v="49"/>
    <s v="Support for coal mining activities by Xstrata Coal Queensland"/>
    <s v="OECD data on export credit support for fossil fuel power plants and fossil fuel extraction projects, 9 October 2014"/>
    <m/>
    <n v="0"/>
    <n v="0"/>
    <m/>
    <m/>
    <m/>
    <m/>
  </r>
  <r>
    <x v="1"/>
    <x v="0"/>
    <x v="0"/>
    <n v="8299473.1884936169"/>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1"/>
    <x v="7"/>
    <x v="1"/>
    <n v="36020445"/>
    <x v="37"/>
    <x v="43"/>
    <m/>
    <x v="27"/>
    <x v="2"/>
    <x v="4"/>
    <x v="50"/>
    <s v="Support for coking coal mining"/>
    <s v="OECD data on export credit support for fossil fuel power plants and fossil fuel extraction projects, 9 October 2014"/>
    <m/>
    <n v="0"/>
    <n v="0"/>
    <m/>
    <m/>
    <m/>
    <m/>
  </r>
  <r>
    <x v="1"/>
    <x v="7"/>
    <x v="1"/>
    <n v="35261650"/>
    <x v="47"/>
    <x v="53"/>
    <m/>
    <x v="27"/>
    <x v="2"/>
    <x v="4"/>
    <x v="50"/>
    <s v="Coking coal mining"/>
    <s v="OECD data on export credit support for fossil fuel power plants and fossil fuel extraction projects, 9 October 2014"/>
    <m/>
    <n v="0"/>
    <n v="0"/>
    <m/>
    <m/>
    <m/>
    <m/>
  </r>
  <r>
    <x v="1"/>
    <x v="1"/>
    <x v="0"/>
    <n v="52367.586151022078"/>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
    <x v="0"/>
    <x v="0"/>
    <n v="331978.92753974471"/>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
    <x v="7"/>
    <x v="1"/>
    <n v="21220000"/>
    <x v="48"/>
    <x v="39"/>
    <m/>
    <x v="32"/>
    <x v="1"/>
    <x v="8"/>
    <x v="51"/>
    <s v="Mining/ coking coal"/>
    <s v="http://www.efic.gov.au/media/1845/efic-annual-report-2013-2014_digital.pdf"/>
    <m/>
    <n v="0"/>
    <n v="0"/>
    <m/>
    <m/>
    <m/>
    <m/>
  </r>
  <r>
    <x v="1"/>
    <x v="1"/>
    <x v="0"/>
    <n v="93513.546698253704"/>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
    <x v="0"/>
    <x v="0"/>
    <n v="2710607.9433620153"/>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
    <x v="5"/>
    <x v="0"/>
    <n v="6948000"/>
    <x v="49"/>
    <x v="54"/>
    <m/>
    <x v="5"/>
    <x v="0"/>
    <x v="1"/>
    <x v="52"/>
    <s v="ADB Project 43906-014: Source of Funding - ADB LIBOR Based Loan. CFB subcritical "/>
    <m/>
    <n v="15.384615384615385"/>
    <n v="1.750881126E-2"/>
    <n v="0.70035245040000005"/>
    <m/>
    <m/>
    <m/>
    <m/>
  </r>
  <r>
    <x v="1"/>
    <x v="6"/>
    <x v="0"/>
    <n v="831640.76574451278"/>
    <x v="50"/>
    <x v="55"/>
    <s v="http://www.ebrd.com/work-with-us/projects/psd/tgk13-capacity-financing-.html"/>
    <x v="28"/>
    <x v="0"/>
    <x v="1"/>
    <x v="53"/>
    <m/>
    <m/>
    <n v="15.416666666666666"/>
    <n v="1.7545287950124999E-2"/>
    <n v="0.70181151800499997"/>
    <m/>
    <m/>
    <m/>
    <m/>
  </r>
  <r>
    <x v="1"/>
    <x v="4"/>
    <x v="0"/>
    <n v="2610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1"/>
    <x v="0"/>
    <x v="0"/>
    <n v="461081.84380520094"/>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
    <x v="6"/>
    <x v="0"/>
    <n v="1140064.6028788888"/>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
    <x v="6"/>
    <x v="0"/>
    <n v="1084335.426400688"/>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
    <x v="4"/>
    <x v="0"/>
    <n v="145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1"/>
    <x v="0"/>
    <x v="0"/>
    <n v="857612.22947767377"/>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
    <x v="4"/>
    <x v="0"/>
    <n v="42920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
    <x v="6"/>
    <x v="0"/>
    <n v="159480.45355035088"/>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
    <x v="1"/>
    <x v="0"/>
    <n v="24936.945786200988"/>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
    <x v="5"/>
    <x v="0"/>
    <n v="781650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1"/>
    <x v="4"/>
    <x v="0"/>
    <n v="44080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
    <x v="6"/>
    <x v="0"/>
    <n v="187868.19317241249"/>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
    <x v="4"/>
    <x v="0"/>
    <n v="5496370"/>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
    <x v="1"/>
    <x v="0"/>
    <n v="261837.93075511037"/>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
    <x v="1"/>
    <x v="0"/>
    <n v="150868.52200651597"/>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
    <x v="7"/>
    <x v="1"/>
    <n v="26781000"/>
    <x v="54"/>
    <x v="61"/>
    <m/>
    <x v="27"/>
    <x v="2"/>
    <x v="4"/>
    <x v="50"/>
    <s v="Mining / construction services_x000a_EFIC RESPONSE: Multiple references to NRW are incorrectly allocated to coal mining.  The bonding lines provided in each instance were in relation to iron ore mining operations"/>
    <s v="OECD data on export credit support for fossil fuel power plants and fossil fuel extraction projects, 9 October 2014"/>
    <m/>
    <n v="0"/>
    <n v="0"/>
    <m/>
    <m/>
    <m/>
    <m/>
  </r>
  <r>
    <x v="1"/>
    <x v="0"/>
    <x v="0"/>
    <n v="516411.66506182507"/>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
    <x v="0"/>
    <x v="0"/>
    <n v="839168.95572546578"/>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
    <x v="1"/>
    <x v="0"/>
    <n v="2493694.578620099"/>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
    <x v="1"/>
    <x v="0"/>
    <n v="3491.1724100681386"/>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
    <x v="6"/>
    <x v="0"/>
    <n v="341383.58806924644"/>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
    <x v="6"/>
    <x v="0"/>
    <n v="287267.96744197333"/>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
    <x v="4"/>
    <x v="0"/>
    <n v="8265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
    <x v="7"/>
    <x v="1"/>
    <n v="97741920"/>
    <x v="57"/>
    <x v="64"/>
    <m/>
    <x v="33"/>
    <x v="2"/>
    <x v="3"/>
    <x v="49"/>
    <s v="Coal export terminal, from EFIC 2011 Annual Report_x000a_EFIC RESPONSE: ).  The second reference to WICET of ca. US$97.7m is accurate"/>
    <s v="OECD data on export credit support for fossil fuel power plants and fossil fuel extraction projects, 9 October 2014"/>
    <m/>
    <n v="0"/>
    <n v="0"/>
    <m/>
    <m/>
    <m/>
    <m/>
  </r>
  <r>
    <x v="2"/>
    <x v="2"/>
    <x v="0"/>
    <n v="15813977.929710468"/>
    <x v="3"/>
    <x v="3"/>
    <s v="http://www.shiftthesubsidies.org/projects/713"/>
    <x v="3"/>
    <x v="0"/>
    <x v="0"/>
    <x v="3"/>
    <m/>
    <m/>
    <n v="60"/>
    <n v="6.8284363914000015E-2"/>
    <n v="2.7313745565600005"/>
    <m/>
    <m/>
    <m/>
    <m/>
  </r>
  <r>
    <x v="2"/>
    <x v="2"/>
    <x v="0"/>
    <n v="5378904.0577246491"/>
    <x v="4"/>
    <x v="4"/>
    <s v="http://www.shiftthesubsidies.org/projects/707"/>
    <x v="3"/>
    <x v="0"/>
    <x v="0"/>
    <x v="3"/>
    <m/>
    <m/>
    <n v="30"/>
    <n v="3.4142181957000008E-2"/>
    <n v="1.3656872782800002"/>
    <m/>
    <m/>
    <m/>
    <m/>
  </r>
  <r>
    <x v="2"/>
    <x v="3"/>
    <x v="0"/>
    <n v="494121.85507125285"/>
    <x v="7"/>
    <x v="7"/>
    <s v="http://www.afdb.org/en/news-and-events/article/afdb-approves-eur-153-million-for-botswana-power-project-5255/"/>
    <x v="6"/>
    <x v="0"/>
    <x v="0"/>
    <x v="6"/>
    <m/>
    <m/>
    <n v="20"/>
    <n v="2.2761454637999997E-2"/>
    <n v="0.91045818551999991"/>
    <m/>
    <s v="Share of full power plant capacity of 600MW"/>
    <m/>
    <m/>
  </r>
  <r>
    <x v="2"/>
    <x v="3"/>
    <x v="0"/>
    <n v="9984056.2137674671"/>
    <x v="8"/>
    <x v="8"/>
    <s v="http://www.afdb.org/en/projects-and-operations/project-portfolio/project/p-za-faa-001/"/>
    <x v="7"/>
    <x v="0"/>
    <x v="0"/>
    <x v="7"/>
    <m/>
    <m/>
    <n v="160"/>
    <n v="0.18209163710399998"/>
    <n v="7.2836654841599993"/>
    <m/>
    <s v="Share of full power plant capacity of 4800, split with WBG"/>
    <m/>
    <m/>
  </r>
  <r>
    <x v="2"/>
    <x v="3"/>
    <x v="0"/>
    <n v="312909.1768092034"/>
    <x v="9"/>
    <x v="9"/>
    <s v="http://www.afdb.org/en/news-and-events/article/senior-loan-of-up-to-euro-55-million-to-sendou-power-project-in-senegal-5513/"/>
    <x v="8"/>
    <x v="0"/>
    <x v="0"/>
    <x v="7"/>
    <m/>
    <m/>
    <n v="8.3333333333333339"/>
    <n v="9.4839394324999996E-3"/>
    <n v="0.37935757729999997"/>
    <m/>
    <s v="Share of full power plant capacity of 125"/>
    <m/>
    <s v="Yes"/>
  </r>
  <r>
    <x v="2"/>
    <x v="3"/>
    <x v="0"/>
    <n v="753544.074194349"/>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2"/>
    <x v="3"/>
    <x v="0"/>
    <n v="4238685.4173432132"/>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3"/>
    <x v="0"/>
    <x v="0"/>
    <n v="10830245.425811699"/>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3"/>
    <x v="1"/>
    <x v="0"/>
    <n v="18421.545407550599"/>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3"/>
    <x v="1"/>
    <x v="0"/>
    <n v="69080.795278314734"/>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3"/>
    <x v="0"/>
    <x v="0"/>
    <n v="16028763.230201315"/>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3"/>
    <x v="1"/>
    <x v="0"/>
    <n v="180925.89239558621"/>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3"/>
    <x v="0"/>
    <x v="0"/>
    <n v="173283.92681298719"/>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3"/>
    <x v="0"/>
    <x v="0"/>
    <n v="5956634.9841964347"/>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3"/>
    <x v="1"/>
    <x v="0"/>
    <n v="185037.84449548592"/>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3"/>
    <x v="0"/>
    <x v="0"/>
    <n v="9747220.8832305297"/>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3"/>
    <x v="4"/>
    <x v="0"/>
    <n v="3618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3"/>
    <x v="0"/>
    <x v="0"/>
    <n v="389888.83532922115"/>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3"/>
    <x v="1"/>
    <x v="0"/>
    <n v="123358.56299699061"/>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3"/>
    <x v="0"/>
    <x v="0"/>
    <n v="3183442.3404630907"/>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3"/>
    <x v="0"/>
    <x v="0"/>
    <n v="541512.27129058493"/>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3"/>
    <x v="4"/>
    <x v="0"/>
    <n v="201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3"/>
    <x v="0"/>
    <x v="0"/>
    <n v="1007212.8246004879"/>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3"/>
    <x v="4"/>
    <x v="0"/>
    <n v="59496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3"/>
    <x v="1"/>
    <x v="0"/>
    <n v="32895.616799197494"/>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3"/>
    <x v="4"/>
    <x v="0"/>
    <n v="61104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3"/>
    <x v="4"/>
    <x v="0"/>
    <n v="7619106"/>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3"/>
    <x v="1"/>
    <x v="0"/>
    <n v="345403.97639157373"/>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3"/>
    <x v="1"/>
    <x v="0"/>
    <n v="199018.48163514485"/>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3"/>
    <x v="0"/>
    <x v="0"/>
    <n v="606493.74384545512"/>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3"/>
    <x v="0"/>
    <x v="0"/>
    <n v="985552.33374886459"/>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3"/>
    <x v="1"/>
    <x v="0"/>
    <n v="3289561.6799197495"/>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3"/>
    <x v="1"/>
    <x v="0"/>
    <n v="4605.3863518876497"/>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3"/>
    <x v="4"/>
    <x v="0"/>
    <n v="11457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4"/>
    <x v="0"/>
    <x v="0"/>
    <n v="15848768.974118469"/>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4"/>
    <x v="1"/>
    <x v="0"/>
    <n v="2715.5921172329886"/>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4"/>
    <x v="1"/>
    <x v="0"/>
    <n v="10183.470439623707"/>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4"/>
    <x v="5"/>
    <x v="0"/>
    <n v="26185"/>
    <x v="39"/>
    <x v="45"/>
    <m/>
    <x v="11"/>
    <x v="0"/>
    <x v="0"/>
    <x v="43"/>
    <s v="ADB Project 42074-012: Source of Funding - ADB/Technical Assistance Special Fund. technical and non-technical study of 600 MW waste-coal based utilization for power generation. ADB does not include in its list; Power Plant emission are divided evenly among the G20 countries that provided funding to the projects. "/>
    <m/>
    <n v="46.153846153846153"/>
    <n v="5.2526433780000006E-2"/>
    <n v="2.1010573512000001"/>
    <m/>
    <s v="Share of full power plant capacity of 600"/>
    <m/>
    <m/>
  </r>
  <r>
    <x v="4"/>
    <x v="4"/>
    <x v="0"/>
    <n v="126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4"/>
    <x v="0"/>
    <x v="0"/>
    <n v="23456178.081695333"/>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
    <m/>
    <n v="17.368421052631579"/>
    <n v="1.9766526396157894E-2"/>
    <n v="0.79066105584631574"/>
    <m/>
    <s v="WBG"/>
    <s v="Status: Closed"/>
    <m/>
  </r>
  <r>
    <x v="4"/>
    <x v="5"/>
    <x v="0"/>
    <n v="18329.5"/>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4"/>
    <x v="6"/>
    <x v="0"/>
    <n v="1914843.5873929833"/>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4"/>
    <x v="6"/>
    <x v="0"/>
    <n v="2415123.2573124799"/>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4"/>
    <x v="1"/>
    <x v="0"/>
    <n v="26670.99400853828"/>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4"/>
    <x v="5"/>
    <x v="0"/>
    <n v="47160494.2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4"/>
    <x v="5"/>
    <x v="0"/>
    <n v="3692085"/>
    <x v="31"/>
    <x v="36"/>
    <s v="https://ijglobal.com/data/transaction/21533/khulna-ipp-150mw"/>
    <x v="23"/>
    <x v="0"/>
    <x v="0"/>
    <x v="34"/>
    <s v="ADB RESPONSE: This was not found in ADB project database."/>
    <m/>
    <m/>
    <n v="0"/>
    <n v="0"/>
    <m/>
    <m/>
    <m/>
    <m/>
  </r>
  <r>
    <x v="4"/>
    <x v="5"/>
    <x v="0"/>
    <n v="10474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4"/>
    <x v="5"/>
    <x v="0"/>
    <n v="1459028.2"/>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4"/>
    <x v="6"/>
    <x v="0"/>
    <n v="6878341.471042607"/>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4"/>
    <x v="2"/>
    <x v="0"/>
    <n v="5883321.7726599555"/>
    <x v="3"/>
    <x v="3"/>
    <s v="http://www.shiftthesubsidies.org/projects/713"/>
    <x v="3"/>
    <x v="0"/>
    <x v="0"/>
    <x v="3"/>
    <m/>
    <m/>
    <n v="60"/>
    <n v="6.8284363914000015E-2"/>
    <n v="2.7313745565600005"/>
    <m/>
    <m/>
    <m/>
    <m/>
  </r>
  <r>
    <x v="4"/>
    <x v="2"/>
    <x v="0"/>
    <n v="2001129.8546462434"/>
    <x v="4"/>
    <x v="4"/>
    <s v="http://www.shiftthesubsidies.org/projects/707"/>
    <x v="3"/>
    <x v="0"/>
    <x v="0"/>
    <x v="3"/>
    <m/>
    <m/>
    <n v="30"/>
    <n v="3.4142181957000008E-2"/>
    <n v="1.3656872782800002"/>
    <m/>
    <m/>
    <m/>
    <m/>
  </r>
  <r>
    <x v="4"/>
    <x v="0"/>
    <x v="0"/>
    <n v="253580.30358589551"/>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4"/>
    <x v="5"/>
    <x v="0"/>
    <n v="47282254.5"/>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4"/>
    <x v="0"/>
    <x v="0"/>
    <n v="8716822.9357651584"/>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31.578947368421051"/>
    <n v="3.5939138902105268E-2"/>
    <n v="1.4375655560842107"/>
    <m/>
    <s v="Share of full power plant capacity of 600MW, split with AfDB"/>
    <s v="Active"/>
    <m/>
  </r>
  <r>
    <x v="4"/>
    <x v="3"/>
    <x v="0"/>
    <n v="1494.5091960406137"/>
    <x v="7"/>
    <x v="7"/>
    <s v="http://www.afdb.org/en/news-and-events/article/afdb-approves-eur-153-million-for-botswana-power-project-5255/"/>
    <x v="6"/>
    <x v="0"/>
    <x v="0"/>
    <x v="6"/>
    <m/>
    <m/>
    <n v="20"/>
    <n v="2.2761454637999997E-2"/>
    <n v="0.91045818551999991"/>
    <m/>
    <s v="Share of full power plant capacity of 600MW"/>
    <m/>
    <m/>
  </r>
  <r>
    <x v="4"/>
    <x v="0"/>
    <x v="0"/>
    <n v="792438.44870592351"/>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4"/>
    <x v="3"/>
    <x v="0"/>
    <n v="100870828.72251266"/>
    <x v="8"/>
    <x v="8"/>
    <s v="http://www.afdb.org/en/projects-and-operations/project-portfolio/project/p-za-faa-001/"/>
    <x v="7"/>
    <x v="0"/>
    <x v="0"/>
    <x v="7"/>
    <m/>
    <m/>
    <n v="160"/>
    <n v="0.18209163710399998"/>
    <n v="7.2836654841599993"/>
    <m/>
    <s v="Share of full power plant capacity of 4800, split with WBG"/>
    <m/>
    <m/>
  </r>
  <r>
    <x v="4"/>
    <x v="3"/>
    <x v="0"/>
    <n v="3161381.2366259894"/>
    <x v="9"/>
    <x v="9"/>
    <s v="http://www.afdb.org/en/news-and-events/article/senior-loan-of-up-to-euro-55-million-to-sendou-power-project-in-senegal-5513/"/>
    <x v="8"/>
    <x v="0"/>
    <x v="0"/>
    <x v="7"/>
    <m/>
    <m/>
    <n v="8.3333333333333339"/>
    <n v="9.4839394324999996E-3"/>
    <n v="0.37935757729999997"/>
    <m/>
    <s v="Share of full power plant capacity of 125"/>
    <m/>
    <s v="Yes"/>
  </r>
  <r>
    <x v="4"/>
    <x v="5"/>
    <x v="0"/>
    <n v="235665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4"/>
    <x v="5"/>
    <x v="0"/>
    <m/>
    <x v="36"/>
    <x v="42"/>
    <s v="http://www.adb.org/sites/default/files/projdocs/2008/41958-PHI-RRP.pdf_x000a_http://www.adb.org/sites/default/files/projdocs/2008/41958-PHI-RRP.pdf"/>
    <x v="5"/>
    <x v="0"/>
    <x v="1"/>
    <x v="40"/>
    <n v="6284400"/>
    <m/>
    <m/>
    <n v="0"/>
    <n v="0"/>
    <m/>
    <s v="ADB Project 41958-014: Source of Funding - ADB Ordinary Capital Resources. ADB does not include in its list.; Power Plant emission are divided evenly among the G20 countries that provided funding to the projects. "/>
    <s v="CANCELLED"/>
    <m/>
  </r>
  <r>
    <x v="4"/>
    <x v="6"/>
    <x v="0"/>
    <n v="1004237.8547722206"/>
    <x v="38"/>
    <x v="44"/>
    <s v="http://www.ebrd.com/work-with-us/projects/psd/mak.html"/>
    <x v="9"/>
    <x v="1"/>
    <x v="2"/>
    <x v="42"/>
    <s v="Expansion of Eldev coal mine. Mongolyn Alt Corporation (‘MAK’ or the ‘Company’), a medium-sized Mongolian mining company producing coal"/>
    <m/>
    <m/>
    <n v="0"/>
    <n v="0"/>
    <m/>
    <s v="Yes"/>
    <m/>
    <m/>
  </r>
  <r>
    <x v="4"/>
    <x v="1"/>
    <x v="0"/>
    <n v="27277.152963277789"/>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4"/>
    <x v="6"/>
    <x v="0"/>
    <n v="2729524.335861146"/>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4"/>
    <x v="8"/>
    <x v="1"/>
    <n v="47669084.490000002"/>
    <x v="58"/>
    <x v="65"/>
    <s v="http://www.edc.ca/EN/About-Us/Disclosure/Reporting-on-Transactions/Pages/signed-cat-a-projects-prior-november-1-2010.aspx"/>
    <x v="33"/>
    <x v="2"/>
    <x v="3"/>
    <x v="61"/>
    <s v="EDC only lists project values in ranges. For this project they listed it as 50-100 million Canadian dollar. We have conservatively listed it at 50 million Canadian dollars even though it could be up to 100 million Canadian dollars. Values based upon communication from EDC staff on data that was previously reported on their website. Information from EDC lists that: &quot;Newcastle Coal Infrastructure Group (NCIG) plans to expand the capacity at its Coal Export Terminal from 30 Mtpa to 53 Mtpa.&quot; We have listed the difference in coal export capacity as the basis of this NCIG project._x000a__x000a_OECD data on export credit support for fossil fuel power plants and fossil fuel extraction projects, 9 October 2014"/>
    <m/>
    <m/>
    <n v="0"/>
    <n v="0"/>
    <n v="23"/>
    <m/>
    <m/>
    <m/>
  </r>
  <r>
    <x v="4"/>
    <x v="6"/>
    <x v="0"/>
    <m/>
    <x v="42"/>
    <x v="48"/>
    <s v="http://www.ebrd.com/work-with-us/projects/psd/oltenia---turceni-rehabilitation.html"/>
    <x v="29"/>
    <x v="0"/>
    <x v="1"/>
    <x v="37"/>
    <m/>
    <m/>
    <m/>
    <n v="0"/>
    <n v="0"/>
    <m/>
    <s v="Financing for the rehabilitation and modernisation of unit 6 of CET Oltenia’s Turceni lignite fired power plant"/>
    <s v="CANCELLED"/>
    <m/>
  </r>
  <r>
    <x v="4"/>
    <x v="6"/>
    <x v="0"/>
    <n v="1857152.1971815038"/>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4"/>
    <x v="6"/>
    <x v="0"/>
    <n v="1180873.6637485947"/>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4"/>
    <x v="8"/>
    <x v="1"/>
    <n v="108530915.50999999"/>
    <x v="58"/>
    <x v="65"/>
    <s v="http://www.edc.ca/EN/About-Us/Disclosure/Reporting-on-Transactions/Pages/signed-cat-a-projects-prior-november-1-2010.aspx"/>
    <x v="33"/>
    <x v="2"/>
    <x v="3"/>
    <x v="62"/>
    <s v="EDC initially financed the project in 2010 and provided addidtional financing in 2011. For 2011 amount, subtracted original financing amount from the total amount provided by OECD data. _x000a__x000a_The coal mine size is 23 Mtpa. Since it is already included in EDC's initial financing in 2010 , this entry does not records the coal mine size to avoid double entry. "/>
    <m/>
    <m/>
    <n v="0"/>
    <n v="0"/>
    <n v="0"/>
    <m/>
    <m/>
    <m/>
  </r>
  <r>
    <x v="4"/>
    <x v="8"/>
    <x v="1"/>
    <n v="50000000"/>
    <x v="59"/>
    <x v="64"/>
    <s v="http://www.edc.ca/EN/About-Us/Disclosure/Reporting-on-Transactions/Pages/signed-category-b-projects.aspx"/>
    <x v="33"/>
    <x v="2"/>
    <x v="3"/>
    <x v="63"/>
    <s v="EDC only lists project values in ranges. For this project they listed it as 25-50 million Canadian dollars. Amount used from this article, consistent with the ranges provided"/>
    <s v="http://www.bloomberg.com/news/articles/2011-09-06/wiggins-said-to-plan-to-sign-3-billion-of-loans-this-month"/>
    <m/>
    <n v="0"/>
    <n v="0"/>
    <n v="27"/>
    <m/>
    <m/>
    <m/>
  </r>
  <r>
    <x v="4"/>
    <x v="0"/>
    <x v="0"/>
    <n v="14263892.076706622"/>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4"/>
    <x v="5"/>
    <x v="0"/>
    <n v="10474"/>
    <x v="45"/>
    <x v="51"/>
    <m/>
    <x v="11"/>
    <x v="0"/>
    <x v="0"/>
    <x v="48"/>
    <s v="ADB RESPONSE: This is a Technical Assistance. ADB does not count it as part of its loan investments"/>
    <m/>
    <m/>
    <n v="0"/>
    <n v="0"/>
    <m/>
    <s v="ADB Project 42117-022: Source of Funding - ADB/Technical Assistance Special Fund. IGCC plant. ADB does not include in its list. Power Plant emission are divided evenly among the G20 countries that provided funding to the projects. "/>
    <m/>
    <m/>
  </r>
  <r>
    <x v="4"/>
    <x v="6"/>
    <x v="0"/>
    <n v="4436530.2488224814"/>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4"/>
    <x v="8"/>
    <x v="1"/>
    <m/>
    <x v="60"/>
    <x v="66"/>
    <s v="http://www.edc.ca/EN/About-Us/Disclosure/Reporting-on-Transactions/Documents/project-summary-pacific-lng.pdf"/>
    <x v="33"/>
    <x v="2"/>
    <x v="4"/>
    <x v="64"/>
    <s v="EDC only lists project values in ranges. For this project they listed it as 250-500 million Canadian dollars. Amount from this article is $300,000,000, consistent with the range on the second source."/>
    <s v="http://www19.edc.ca/publications/2013/2012csr/english/10-3.shtml_x000a_http://www.reuters.com/article/2012/03/02/idUSL4E8E21NU20120302"/>
    <m/>
    <n v="0"/>
    <n v="0"/>
    <m/>
    <m/>
    <m/>
    <m/>
  </r>
  <r>
    <x v="4"/>
    <x v="8"/>
    <x v="1"/>
    <n v="100000000"/>
    <x v="61"/>
    <x v="67"/>
    <s v="http://www.edc.ca/EN/About-Us/Disclosure/Reporting-on-Transactions/Pages/signed-cat-a-projects-as-of-november-1-2010.aspx"/>
    <x v="4"/>
    <x v="2"/>
    <x v="4"/>
    <x v="65"/>
    <s v="Trial production started in 2013. Commercial operation in 2014 359,000tpa Aluminium Smelter and 900MW Captive Power Plant, Amount found here in second source."/>
    <s v="http://www.edc.ca/EN/About-Us/Disclosure/Reporting-on-Transactions/Documents/project-summary-mahan.pdf_x000a_http://www.business-standard.com/article/companies/canadian-agency-to-grant-hindalco-100-mn-for-mp-project-112120800070_1.htmlhttp://webcache.googleusercontent.com/search?q=cache:Priq32rIVoMJ:www.mydigitalfc.com/news/hindalco-bets-big-utkal-mahan-plants-raise-output-083&amp;hl=en&amp;gl=us&amp;strip=1"/>
    <n v="900"/>
    <n v="1.02426545871"/>
    <n v="40.970618348399995"/>
    <m/>
    <m/>
    <m/>
    <m/>
  </r>
  <r>
    <x v="4"/>
    <x v="1"/>
    <x v="0"/>
    <n v="50917.35219811854"/>
    <x v="62"/>
    <x v="68"/>
    <s v="http://www.afdb.org/fileadmin/uploads/afdb/Documents/Project-and-Operations/Project_Brief_Nacala_Rail___Port__Project__Multinational_2015.pdf"/>
    <x v="34"/>
    <x v="2"/>
    <x v="4"/>
    <x v="66"/>
    <s v="Total Financing - $150 mil loan. As stated on the World Bank website under 'Details' - 'Sectors': Coal Mining - 7%. Amount included is $150 mil * .07 =$21,00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No link to coal. Wrong sector coding. There is no coal or coal mining in Cote D’Ivoire. "/>
    <s v="http://www.worldbank.org/projects/P122800/ci-egrg-econ-gov-recovery-4?lang=en&amp;tab=overview"/>
    <m/>
    <n v="0"/>
    <n v="0"/>
    <m/>
    <s v="WBG"/>
    <s v="Status: Closed"/>
    <m/>
  </r>
  <r>
    <x v="4"/>
    <x v="0"/>
    <x v="0"/>
    <n v="570555.68306826486"/>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4"/>
    <x v="1"/>
    <x v="0"/>
    <n v="18184.76864218519"/>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4"/>
    <x v="0"/>
    <x v="0"/>
    <n v="4658587.1522523826"/>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4"/>
    <x v="5"/>
    <x v="0"/>
    <n v="6284400"/>
    <x v="49"/>
    <x v="54"/>
    <m/>
    <x v="5"/>
    <x v="0"/>
    <x v="1"/>
    <x v="52"/>
    <s v="ADB Project 43906-014: Source of Funding - ADB LIBOR Based Loan. CFB subcritical "/>
    <m/>
    <n v="15.384615384615385"/>
    <n v="1.750881126E-2"/>
    <n v="0.70035245040000005"/>
    <m/>
    <m/>
    <m/>
    <m/>
  </r>
  <r>
    <x v="4"/>
    <x v="3"/>
    <x v="0"/>
    <n v="7613199.8473834787"/>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4"/>
    <x v="6"/>
    <x v="0"/>
    <n v="2827617.395330905"/>
    <x v="50"/>
    <x v="55"/>
    <s v="http://www.ebrd.com/work-with-us/projects/psd/tgk13-capacity-financing-.html"/>
    <x v="28"/>
    <x v="0"/>
    <x v="1"/>
    <x v="53"/>
    <m/>
    <m/>
    <n v="15.416666666666666"/>
    <n v="1.7545287950124999E-2"/>
    <n v="0.70181151800499997"/>
    <m/>
    <m/>
    <m/>
    <m/>
  </r>
  <r>
    <x v="4"/>
    <x v="3"/>
    <x v="0"/>
    <n v="42824249.141532063"/>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4"/>
    <x v="6"/>
    <x v="0"/>
    <n v="3876272.8279865305"/>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4"/>
    <x v="6"/>
    <x v="0"/>
    <n v="3686791.0284788399"/>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4"/>
    <x v="4"/>
    <x v="0"/>
    <n v="7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4"/>
    <x v="0"/>
    <x v="0"/>
    <n v="1473935.5145930175"/>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4"/>
    <x v="4"/>
    <x v="0"/>
    <n v="2072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4"/>
    <x v="6"/>
    <x v="0"/>
    <n v="542240.98102084897"/>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4"/>
    <x v="1"/>
    <x v="0"/>
    <n v="4849.2716379160511"/>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4"/>
    <x v="5"/>
    <x v="0"/>
    <n v="706995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4"/>
    <x v="4"/>
    <x v="0"/>
    <n v="2128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4"/>
    <x v="6"/>
    <x v="0"/>
    <n v="638760.61987910722"/>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4"/>
    <x v="4"/>
    <x v="0"/>
    <n v="265342"/>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4"/>
    <x v="1"/>
    <x v="0"/>
    <n v="29338.09340939211"/>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4"/>
    <x v="0"/>
    <x v="0"/>
    <n v="887531.06255063426"/>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4"/>
    <x v="0"/>
    <x v="0"/>
    <n v="1442237.9766447807"/>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4"/>
    <x v="1"/>
    <x v="0"/>
    <n v="484927.1637916051"/>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4"/>
    <x v="1"/>
    <x v="0"/>
    <n v="678.89802930824715"/>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4"/>
    <x v="6"/>
    <x v="0"/>
    <n v="1160720.1232384399"/>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4"/>
    <x v="6"/>
    <x v="0"/>
    <n v="976724.4888880502"/>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4"/>
    <x v="4"/>
    <x v="0"/>
    <n v="399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5"/>
    <x v="0"/>
    <x v="0"/>
    <n v="12032610.173903521"/>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5"/>
    <x v="1"/>
    <x v="0"/>
    <n v="23792.414921239626"/>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5"/>
    <x v="1"/>
    <x v="0"/>
    <n v="89221.555954648604"/>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5"/>
    <x v="4"/>
    <x v="0"/>
    <n v="9180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5"/>
    <x v="5"/>
    <x v="0"/>
    <n v="32255"/>
    <x v="39"/>
    <x v="45"/>
    <m/>
    <x v="11"/>
    <x v="0"/>
    <x v="0"/>
    <x v="43"/>
    <s v="ADB Project 42074-012: Source of Funding - ADB/Technical Assistance Special Fund. technical and non-technical study of 600 MW waste-coal based utilization for power generation. ADB does not include in its list; Power Plant emission are divided evenly among the G20 countries that provided funding to the projects. "/>
    <m/>
    <n v="46.153846153846153"/>
    <n v="5.2526433780000006E-2"/>
    <n v="2.1010573512000001"/>
    <m/>
    <s v="Share of full power plant capacity of 600"/>
    <m/>
    <m/>
  </r>
  <r>
    <x v="5"/>
    <x v="0"/>
    <x v="0"/>
    <n v="601630.5086951761"/>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5"/>
    <x v="0"/>
    <x v="0"/>
    <n v="17808263.057377212"/>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5"/>
    <x v="9"/>
    <x v="2"/>
    <n v="270000000"/>
    <x v="63"/>
    <x v="69"/>
    <s v="http://www.thejakartapost.com/news/2009/02/25/pln-secures-part-loans-needed-10000-mw-program.html"/>
    <x v="16"/>
    <x v="0"/>
    <x v="0"/>
    <x v="67"/>
    <m/>
    <m/>
    <n v="630"/>
    <n v="0.71698582109700004"/>
    <n v="28.679432843880001"/>
    <m/>
    <m/>
    <m/>
    <m/>
  </r>
  <r>
    <x v="5"/>
    <x v="5"/>
    <x v="0"/>
    <n v="22578.5"/>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5"/>
    <x v="1"/>
    <x v="0"/>
    <n v="233675.50369074632"/>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5"/>
    <x v="5"/>
    <x v="0"/>
    <n v="58092867.7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5"/>
    <x v="5"/>
    <x v="0"/>
    <n v="4547955"/>
    <x v="31"/>
    <x v="36"/>
    <s v="https://ijglobal.com/data/transaction/21533/khulna-ipp-150mw"/>
    <x v="23"/>
    <x v="0"/>
    <x v="0"/>
    <x v="34"/>
    <s v="ADB RESPONSE: This was not found in ADB project database."/>
    <m/>
    <m/>
    <n v="0"/>
    <n v="0"/>
    <m/>
    <m/>
    <m/>
    <m/>
  </r>
  <r>
    <x v="5"/>
    <x v="9"/>
    <x v="2"/>
    <n v="84600000"/>
    <x v="63"/>
    <x v="70"/>
    <s v="https://ijglobal.com/data/transaction/18007/indramayu-coal-fired-power-plant"/>
    <x v="16"/>
    <x v="0"/>
    <x v="0"/>
    <x v="68"/>
    <m/>
    <s v="http://www.edf.org/sites/default/files/9584_coal-plants-spreadsheet.xls"/>
    <n v="990"/>
    <n v="1.1266920045809998"/>
    <n v="45.067680183239993"/>
    <m/>
    <m/>
    <m/>
    <m/>
  </r>
  <r>
    <x v="5"/>
    <x v="5"/>
    <x v="0"/>
    <n v="12902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5"/>
    <x v="5"/>
    <x v="0"/>
    <n v="1797248.5999999999"/>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5"/>
    <x v="9"/>
    <x v="2"/>
    <m/>
    <x v="63"/>
    <x v="71"/>
    <s v="http://www.thejakartapost.com/news/2009/02/25/pln-secures-part-loans-needed-10000-mw-program.html"/>
    <x v="16"/>
    <x v="0"/>
    <x v="0"/>
    <x v="69"/>
    <m/>
    <s v="http://www.asiaviews.org/business/8-on-business/17782-onbusinessalias3107?tmpl=component&amp;print=1&amp;page="/>
    <m/>
    <n v="0"/>
    <n v="0"/>
    <m/>
    <s v="NRDC:This project was repordetly agreed earlier but was put on hold after the financial collapse. This date coincides with when they announced that the project would continue."/>
    <m/>
    <m/>
  </r>
  <r>
    <x v="5"/>
    <x v="9"/>
    <x v="2"/>
    <n v="277000000"/>
    <x v="64"/>
    <x v="72"/>
    <m/>
    <x v="16"/>
    <x v="0"/>
    <x v="0"/>
    <x v="70"/>
    <m/>
    <s v="http://www.sourcewatch.org/index.php/Adipala_power_station_x000a_http://climatepolicyinitiative.org/wp-content/uploads/2015/11/Slowing-the-Growth-of-Coal-Power-Outside-China.pdf"/>
    <n v="660"/>
    <n v="0.75112800305400007"/>
    <n v="30.045120122160004"/>
    <m/>
    <m/>
    <m/>
    <m/>
  </r>
  <r>
    <x v="5"/>
    <x v="9"/>
    <x v="2"/>
    <n v="493000000"/>
    <x v="65"/>
    <x v="73"/>
    <s v="https://ijglobal.com/data/transaction/20681/gnpower-mariveles-coal-fired-plant"/>
    <x v="5"/>
    <x v="0"/>
    <x v="0"/>
    <x v="71"/>
    <m/>
    <m/>
    <n v="2100"/>
    <n v="2.3899527369899998"/>
    <n v="95.598109479599998"/>
    <m/>
    <m/>
    <m/>
    <m/>
  </r>
  <r>
    <x v="5"/>
    <x v="9"/>
    <x v="2"/>
    <n v="100000000"/>
    <x v="66"/>
    <x v="74"/>
    <s v="https://ijglobal.com/data/transaction/21504/clp-jhajjar-power-refinancing"/>
    <x v="4"/>
    <x v="0"/>
    <x v="0"/>
    <x v="72"/>
    <s v="Total power plant size is 1320MW, divided equally between the two financers: CDB and China Exim. Power plant size source: https://www.clpindia.in/operations_jhajjar.html"/>
    <m/>
    <n v="660"/>
    <n v="0.75112800305400007"/>
    <n v="30.045120122160004"/>
    <m/>
    <m/>
    <m/>
    <m/>
  </r>
  <r>
    <x v="5"/>
    <x v="2"/>
    <x v="0"/>
    <n v="3232.5268110420288"/>
    <x v="3"/>
    <x v="3"/>
    <s v="http://www.shiftthesubsidies.org/projects/713"/>
    <x v="3"/>
    <x v="0"/>
    <x v="0"/>
    <x v="3"/>
    <m/>
    <m/>
    <n v="60"/>
    <n v="6.8284363914000015E-2"/>
    <n v="2.7313745565600005"/>
    <m/>
    <m/>
    <m/>
    <m/>
  </r>
  <r>
    <x v="5"/>
    <x v="2"/>
    <x v="0"/>
    <n v="1099.4989153204181"/>
    <x v="4"/>
    <x v="4"/>
    <s v="http://www.shiftthesubsidies.org/projects/707"/>
    <x v="3"/>
    <x v="0"/>
    <x v="0"/>
    <x v="3"/>
    <m/>
    <m/>
    <n v="30"/>
    <n v="3.4142181957000008E-2"/>
    <n v="1.3656872782800002"/>
    <m/>
    <m/>
    <m/>
    <m/>
  </r>
  <r>
    <x v="5"/>
    <x v="0"/>
    <x v="0"/>
    <n v="192521.76278245632"/>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5"/>
    <x v="9"/>
    <x v="2"/>
    <n v="275871575"/>
    <x v="17"/>
    <x v="75"/>
    <s v="http://www.business-standard.com/article/companies/three-banks-to-support-r-power-s-sasan-project-110121500101_1.html"/>
    <x v="4"/>
    <x v="0"/>
    <x v="0"/>
    <x v="73"/>
    <s v="Bank of China (BOC), China Development Bank (CDB), Export-Import Bank of China (China-EXIM), and Standard Chartered invested a total of $1.1 billion in these projects. No readily available data was found on the breakout so we assumed that each bank invested an equal share. _x000a_The total power plant size is 3960 MW. We divided it equally among the investors. "/>
    <m/>
    <n v="990"/>
    <n v="1.1266920045809998"/>
    <n v="45.067680183239993"/>
    <m/>
    <m/>
    <m/>
    <m/>
  </r>
  <r>
    <x v="5"/>
    <x v="9"/>
    <x v="2"/>
    <n v="333333333.33333331"/>
    <x v="67"/>
    <x v="76"/>
    <s v="http://power.in-en.com/html/power-860048.shtml"/>
    <x v="15"/>
    <x v="0"/>
    <x v="0"/>
    <x v="74"/>
    <s v="Equipment provided by Shanghai Electric Power; Bank of China, China Exim Bank, and China Development Bank together invested $10 billion in this project. No readily available data was found on the breakout so we assumed that each bank invested an equal share."/>
    <s v="http://www.chinamachinex.com/electricity/india/122.html;_x000a_"/>
    <m/>
    <n v="0"/>
    <n v="0"/>
    <m/>
    <m/>
    <m/>
    <m/>
  </r>
  <r>
    <x v="5"/>
    <x v="9"/>
    <x v="2"/>
    <n v="354166666.66666669"/>
    <x v="35"/>
    <x v="77"/>
    <s v="http://www.reuters.com/article/2011/08/05/vietnam-energy-plant-idAFL3E7J541T20110805"/>
    <x v="24"/>
    <x v="0"/>
    <x v="0"/>
    <x v="62"/>
    <s v="Bank of China, the Industrial and Commercial Bank of China (ICBC) and the China Development Bank (CDB) have reportedly invested 85% of the toal $1.25 billion (see: http://talkvietnam.com/2012/12/work-begins-on-duyen-hai-3-thermopower-plant/#.UoL5L_mTySo). We have equally allocated the share by each of these Chinese institutions as no readily available data was found on the breakout._x000a_Dongfang Electric Corporation EPC"/>
    <m/>
    <n v="1245"/>
    <n v="1.4169005512155002"/>
    <n v="56.676022048620005"/>
    <m/>
    <s v="Yes"/>
    <m/>
    <m/>
  </r>
  <r>
    <x v="5"/>
    <x v="5"/>
    <x v="0"/>
    <n v="58242853.5"/>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5"/>
    <x v="0"/>
    <x v="0"/>
    <n v="6617935.5956469364"/>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5"/>
    <x v="9"/>
    <x v="2"/>
    <n v="2000000000"/>
    <x v="68"/>
    <x v="78"/>
    <s v="http://www.platts.com/latest-news/coal/moscow/russian-en-china-development-bank-chinese-shenhua-7656113 http://news.guidechem.com/2013/03/25/17655.html http://www.reuters.com/article/2013/03/22/russia-china-coal-idUSL6N0CE0JX20130322 http://www.basel.ru/en/articles/enplus_11_12_13 http://www.brookings.edu/blogs/up-front/posts/2013/04/01-china-russia-energy-relations-downs https://ijglobal.com/articles/83858/east-russian-coal-deal-signed-with-chinese-giants"/>
    <x v="28"/>
    <x v="1"/>
    <x v="10"/>
    <x v="75"/>
    <m/>
    <m/>
    <m/>
    <n v="0"/>
    <n v="0"/>
    <m/>
    <m/>
    <s v="new"/>
    <m/>
  </r>
  <r>
    <x v="5"/>
    <x v="3"/>
    <x v="0"/>
    <n v="1505259.0074359362"/>
    <x v="7"/>
    <x v="7"/>
    <s v="http://www.afdb.org/en/news-and-events/article/afdb-approves-eur-153-million-for-botswana-power-project-5255/"/>
    <x v="6"/>
    <x v="0"/>
    <x v="0"/>
    <x v="6"/>
    <m/>
    <m/>
    <n v="20"/>
    <n v="2.2761454637999997E-2"/>
    <n v="0.91045818551999991"/>
    <m/>
    <s v="Share of full power plant capacity of 600MW"/>
    <m/>
    <m/>
  </r>
  <r>
    <x v="5"/>
    <x v="9"/>
    <x v="2"/>
    <n v="904000000"/>
    <x v="69"/>
    <x v="79"/>
    <s v="http://www.tradefinancemagazine.com/Article/3007685/Search/Results/Vung-Ang-1ECA-backed-financing.html?Keywords=euler+hermes+power&amp;PageMove=2"/>
    <x v="24"/>
    <x v="0"/>
    <x v="0"/>
    <x v="76"/>
    <m/>
    <m/>
    <n v="1200"/>
    <n v="1.36568727828"/>
    <n v="54.627491131200003"/>
    <m/>
    <m/>
    <m/>
    <m/>
  </r>
  <r>
    <x v="5"/>
    <x v="3"/>
    <x v="0"/>
    <n v="30414745.658948995"/>
    <x v="8"/>
    <x v="8"/>
    <s v="http://www.afdb.org/en/projects-and-operations/project-portfolio/project/p-za-faa-001/"/>
    <x v="7"/>
    <x v="0"/>
    <x v="0"/>
    <x v="7"/>
    <m/>
    <m/>
    <n v="160"/>
    <n v="0.18209163710399998"/>
    <n v="7.2836654841599993"/>
    <m/>
    <s v="Share of full power plant capacity of 4800, split with WBG"/>
    <m/>
    <m/>
  </r>
  <r>
    <x v="5"/>
    <x v="3"/>
    <x v="0"/>
    <n v="953225.10442995373"/>
    <x v="9"/>
    <x v="9"/>
    <s v="http://www.afdb.org/en/news-and-events/article/senior-loan-of-up-to-euro-55-million-to-sendou-power-project-in-senegal-5513/"/>
    <x v="8"/>
    <x v="0"/>
    <x v="0"/>
    <x v="7"/>
    <m/>
    <m/>
    <n v="8.3333333333333339"/>
    <n v="9.4839394324999996E-3"/>
    <n v="0.37935757729999997"/>
    <m/>
    <s v="Share of full power plant capacity of 125"/>
    <m/>
    <s v="Yes"/>
  </r>
  <r>
    <x v="5"/>
    <x v="5"/>
    <x v="0"/>
    <n v="290295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5"/>
    <x v="5"/>
    <x v="0"/>
    <m/>
    <x v="36"/>
    <x v="42"/>
    <s v="http://www.adb.org/sites/default/files/projdocs/2008/41958-PHI-RRP.pdf_x000a_http://www.adb.org/sites/default/files/projdocs/2008/41958-PHI-RRP.pdf"/>
    <x v="5"/>
    <x v="0"/>
    <x v="1"/>
    <x v="40"/>
    <n v="7741200"/>
    <m/>
    <m/>
    <n v="0"/>
    <n v="0"/>
    <m/>
    <s v="ADB Project 41958-014: Source of Funding - ADB Ordinary Capital Resources. ADB does not include in its list.; Power Plant emission are divided evenly among the G20 countries that provided funding to the projects. "/>
    <s v="CANCELLED"/>
    <m/>
  </r>
  <r>
    <x v="5"/>
    <x v="9"/>
    <x v="2"/>
    <n v="444240408.04500002"/>
    <x v="70"/>
    <x v="80"/>
    <s v="http://www.eft-group.net/index.php/news/single/62/EFT-and-China-Development-Bank-in-EUR-350-million-financing-deal-for-Stanari-TPP"/>
    <x v="35"/>
    <x v="2"/>
    <x v="4"/>
    <x v="77"/>
    <m/>
    <m/>
    <n v="300"/>
    <n v="0.34142181957000001"/>
    <n v="13.656872782800001"/>
    <m/>
    <m/>
    <m/>
    <m/>
  </r>
  <r>
    <x v="5"/>
    <x v="9"/>
    <x v="2"/>
    <n v="94000000"/>
    <x v="71"/>
    <x v="81"/>
    <m/>
    <x v="16"/>
    <x v="2"/>
    <x v="4"/>
    <x v="50"/>
    <m/>
    <s v="http://www.sourcewatch.org/index.php/Teluk_Sirih_power_station_x000a_http://climatepolicyinitiative.org/wp-content/uploads/2015/11/Slowing-the-Growth-of-Coal-Power-Outside-China.pdf"/>
    <n v="224"/>
    <n v="0.25492829194560002"/>
    <n v="10.197131677824"/>
    <m/>
    <m/>
    <m/>
    <m/>
  </r>
  <r>
    <x v="5"/>
    <x v="1"/>
    <x v="0"/>
    <n v="238986.31059280873"/>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5"/>
    <x v="9"/>
    <x v="2"/>
    <n v="600000000"/>
    <x v="72"/>
    <x v="82"/>
    <s v="http://globserver.cn/en/china/press/china-development-bank-loans-chinese-state-owned-companies-2012-09-10 "/>
    <x v="16"/>
    <x v="1"/>
    <x v="10"/>
    <x v="78"/>
    <m/>
    <s v="http://www.bloomberg.com/news/articles/2014-08-25/bumi-resources-bonds-gain-after-375-million-debt-restructuring"/>
    <m/>
    <n v="0"/>
    <n v="0"/>
    <m/>
    <m/>
    <s v="new"/>
    <m/>
  </r>
  <r>
    <x v="5"/>
    <x v="9"/>
    <x v="2"/>
    <n v="900000000"/>
    <x v="63"/>
    <x v="83"/>
    <s v="http://www.mofcom.gov.cn/article/i/jyjl/j/201304/20130400078299.shtml"/>
    <x v="16"/>
    <x v="2"/>
    <x v="4"/>
    <x v="79"/>
    <m/>
    <s v="http://www.sourcewatch.org/index.php/Cilacap_Sumber_power_station"/>
    <n v="660"/>
    <n v="0.75112800305400007"/>
    <n v="30.045120122160004"/>
    <m/>
    <m/>
    <m/>
    <m/>
  </r>
  <r>
    <x v="5"/>
    <x v="9"/>
    <x v="2"/>
    <n v="160000000"/>
    <x v="73"/>
    <x v="84"/>
    <s v="https://ijglobal.com/data/transaction/28581/gondia-coal-fired-project-additional-facility-3300mw"/>
    <x v="4"/>
    <x v="2"/>
    <x v="4"/>
    <x v="80"/>
    <s v="The total plant size is 3300MW, divided equally CDB, and ICBC. "/>
    <m/>
    <n v="1100"/>
    <n v="1.2518800050900001"/>
    <n v="50.075200203600005"/>
    <m/>
    <m/>
    <m/>
    <m/>
  </r>
  <r>
    <x v="5"/>
    <x v="9"/>
    <x v="2"/>
    <n v="318000000"/>
    <x v="74"/>
    <x v="85"/>
    <s v="http://mediaprofesi.com/industri/2136-pt-dssp-power-sumsel-pltu-ipp-sumsel-5-siap-beroperasi-tahun-2015.html"/>
    <x v="16"/>
    <x v="0"/>
    <x v="0"/>
    <x v="81"/>
    <m/>
    <s v="http://news.xinhuanet.com/world/2012-12/04/c_113907348.htm; http://www.sourcewatch.org/index.php/Sumsel-5_power_station_x000a_http://climatepolicyinitiative.org/wp-content/uploads/2015/11/Slowing-the-Growth-of-Coal-Power-Outside-China.pdf"/>
    <n v="300"/>
    <n v="0.34142181957000001"/>
    <n v="13.656872782800001"/>
    <m/>
    <m/>
    <m/>
    <m/>
  </r>
  <r>
    <x v="5"/>
    <x v="9"/>
    <x v="2"/>
    <n v="600000000"/>
    <x v="75"/>
    <x v="86"/>
    <s v="http://www.livemint.com/Companies/TkqKfa16u8tW78ZsRze0jL/Lanco-Infra-to-raise-2-bn-from-China-Development-Bank.html http://www.thehindu.com/business/companies/2-b-china-development-bank-loan-for-lanco-infra/article4137020.ece http://www.constructionworld.in/News.aspx?nId=LdhpV747b4ZXtB7A7KsNBw== http://www.lancogroup.com/pdf/press_releases/Lanco_to_Raise_$2BN_pricate_equity_from_Chinese_Banks_&amp;_FI's_for_power_projects.pdf http://www.pp.u-tokyo.ac.jp/research/dp/documents/GraSPP-DP-E-14-003-SOM.pdf"/>
    <x v="4"/>
    <x v="0"/>
    <x v="11"/>
    <x v="82"/>
    <m/>
    <m/>
    <n v="2640"/>
    <n v="3.0045120122160003"/>
    <n v="120.18048048864001"/>
    <m/>
    <m/>
    <s v="new"/>
    <m/>
  </r>
  <r>
    <x v="5"/>
    <x v="9"/>
    <x v="2"/>
    <n v="27892857.142857142"/>
    <x v="33"/>
    <x v="87"/>
    <s v="http://vietnamnews.vn/economy/248733/thermal-power-project-warms-up.html"/>
    <x v="24"/>
    <x v="0"/>
    <x v="0"/>
    <x v="83"/>
    <s v="&quot;The loan agreements include a $330 million direct loan with KEXIM, $270 million KEXIM guaranteed loan with the Bank of Tokyo-Mitsubishi UFJ, Ltd (BTMU), CITI bank, HSBC bank, Mizuho bank, Standard Chartered Bank (SCB), and Oversea Chinese Banking Corporation (OCBC), along with a $195.25 million commercial loan with BTMU, China Development Bank (CDB), CITI bank, HSBC, Mizuho, OCBC and SCB&quot; -- see: http://vietnamnews.vn/economy/248733/thermal-power-project-warms-up.html  We have applied the split the &quot;commercial loan&quot; between the 7 listed institutions. ; For plant size see: http://www.aurecongroup.com/en/projects/resources/vinh-tan-2-coal-fired-power-plant.aspx"/>
    <m/>
    <n v="1200"/>
    <n v="1.36568727828"/>
    <n v="54.627491131200003"/>
    <m/>
    <m/>
    <m/>
    <m/>
  </r>
  <r>
    <x v="5"/>
    <x v="9"/>
    <x v="2"/>
    <n v="234000000"/>
    <x v="76"/>
    <x v="88"/>
    <s v="https://ijglobal.com/data/transaction/33000/1200mw-vinh-tan-1-coal-fired-thermal-power-plant"/>
    <x v="24"/>
    <x v="0"/>
    <x v="0"/>
    <x v="84"/>
    <s v="Total plant size 1200MW, equally divided among 6 financers: CDB, China Construction Bank, ICBC, Bank of China, China Exim, and Sinosure.   "/>
    <m/>
    <n v="200"/>
    <n v="0.22761454638"/>
    <n v="9.1045818551999993"/>
    <m/>
    <m/>
    <m/>
    <m/>
  </r>
  <r>
    <x v="5"/>
    <x v="5"/>
    <x v="0"/>
    <n v="12902"/>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5"/>
    <x v="9"/>
    <x v="2"/>
    <n v="510000000"/>
    <x v="74"/>
    <x v="89"/>
    <s v="http://jakartaglobe.beritasatu.com/business/sinar-mas-energy-holding-pushes-ahead-coal-fired-power-plants/_x000a_"/>
    <x v="16"/>
    <x v="0"/>
    <x v="11"/>
    <x v="85"/>
    <m/>
    <s v="http://economictimes.indiatimes.com/news/international/business/indonesias-sinarmas-to-invest-600-700-million-in-2-coal-plants-sources/articleshow/46983781.cms http://www.reuters.com/article/2015/04/20/indonesia-wef-sinarmas-idUSL4N0XH09620150420 http://thejakartaglobe.beritasatu.com/business/sinar-mas-inks-loan-deal-chinese-banks_x000a_http://www.sourcewatch.org/index.php/Sinar_Mas_Jambi_power_station"/>
    <n v="400"/>
    <n v="0.45522909276000001"/>
    <n v="18.209163710399999"/>
    <m/>
    <m/>
    <s v="new"/>
    <m/>
  </r>
  <r>
    <x v="5"/>
    <x v="9"/>
    <x v="2"/>
    <n v="880000000"/>
    <x v="77"/>
    <x v="90"/>
    <m/>
    <x v="16"/>
    <x v="0"/>
    <x v="0"/>
    <x v="86"/>
    <m/>
    <s v="http://www.sourcewatch.org/index.php/Celukan_Bawang_power_station_x000a_https://www.bu.edu/pardeeschool/files/2016/05/Fueling-Growth.FINAL_.version.pdf"/>
    <n v="380"/>
    <n v="0.43246763812200001"/>
    <n v="17.298705524879999"/>
    <m/>
    <m/>
    <m/>
    <m/>
  </r>
  <r>
    <x v="5"/>
    <x v="9"/>
    <x v="2"/>
    <n v="984000000"/>
    <x v="78"/>
    <x v="91"/>
    <s v="http://jconline.ne10.uol.com.br/canal/economia/nacional/noticia/2015/12/13/licenciamento-ambiental-e-dilema-para-chineses-interessados-em-investir-no-brasil-212241.php_x000a__x000a_http://www.sourcewatch.org/index.php/Pedras_Altas_power_station"/>
    <x v="3"/>
    <x v="0"/>
    <x v="0"/>
    <x v="87"/>
    <m/>
    <s v="http://dialogochino.net/brazil-adds-new-coal-fired-power/"/>
    <n v="600"/>
    <n v="0.68284363914000001"/>
    <n v="27.313745565600001"/>
    <m/>
    <m/>
    <m/>
    <m/>
  </r>
  <r>
    <x v="5"/>
    <x v="10"/>
    <x v="1"/>
    <n v="891000000"/>
    <x v="79"/>
    <x v="92"/>
    <s v="http://powermin.gov.lk/english/?page_id=1517"/>
    <x v="36"/>
    <x v="0"/>
    <x v="0"/>
    <x v="37"/>
    <m/>
    <s v="http://www.chinadaily.com.cn/xinhua/2013-10-31/content_10471623.html_x000a_http://china.aiddata.org/projects/33452?iframe=y"/>
    <n v="600"/>
    <n v="0.68284363914000001"/>
    <n v="27.313745565600001"/>
    <m/>
    <m/>
    <m/>
    <m/>
  </r>
  <r>
    <x v="5"/>
    <x v="10"/>
    <x v="1"/>
    <n v="284000000"/>
    <x v="63"/>
    <x v="71"/>
    <s v="http://www.thejakartapost.com/news/2009/02/25/pln-secures-part-loans-needed-10000-mw-program.html"/>
    <x v="16"/>
    <x v="0"/>
    <x v="0"/>
    <x v="69"/>
    <m/>
    <s v="http://www.asiaviews.org/business/8-on-business/17782-onbusinessalias3107?tmpl=component&amp;print=1&amp;page="/>
    <n v="660"/>
    <n v="0.75112800305400007"/>
    <n v="30.045120122160004"/>
    <m/>
    <s v="NRDC:This project was repordetly agreed earlier but was put on hold after the financial collapse. This date coincides with when they announced that the project would continue."/>
    <m/>
    <m/>
  </r>
  <r>
    <x v="5"/>
    <x v="0"/>
    <x v="0"/>
    <n v="10829349.156513169"/>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5"/>
    <x v="10"/>
    <x v="1"/>
    <n v="330000000"/>
    <x v="63"/>
    <x v="93"/>
    <s v="http://www.thejakartapost.com/news/2009/02/25/pln-secures-part-loans-needed-10000-mw-program.html"/>
    <x v="16"/>
    <x v="0"/>
    <x v="0"/>
    <x v="88"/>
    <m/>
    <s v="http://www.asiaviews.org/business/8-on-business/17782-onbusinessalias3107?tmpl=component&amp;print=1&amp;page="/>
    <n v="600"/>
    <n v="0.68284363914000001"/>
    <n v="27.313745565600001"/>
    <m/>
    <s v="This project was repordetly agreed earlier but was put on hold after the financial collapse. This date coincides with when they announced that the project would continue."/>
    <m/>
    <m/>
  </r>
  <r>
    <x v="5"/>
    <x v="10"/>
    <x v="1"/>
    <n v="49000000"/>
    <x v="80"/>
    <x v="94"/>
    <s v="https://ijglobal.com/data/transaction/19866/1080mw-raj-westpower-power-plant"/>
    <x v="4"/>
    <x v="0"/>
    <x v="0"/>
    <x v="89"/>
    <m/>
    <m/>
    <n v="1080"/>
    <n v="1.2291185504519999"/>
    <n v="49.164742018079998"/>
    <m/>
    <m/>
    <m/>
    <m/>
  </r>
  <r>
    <x v="5"/>
    <x v="10"/>
    <x v="1"/>
    <n v="481000000"/>
    <x v="63"/>
    <x v="95"/>
    <s v="https://ijglobal.com/data/transaction/19214/pelapuhan-ratu-power-plant"/>
    <x v="16"/>
    <x v="0"/>
    <x v="0"/>
    <x v="90"/>
    <s v="Source for power plant size: http://www.nationmultimedia.com/aec/Coal-fired-plants-to-boost-power-supply-this-year-30197706.html"/>
    <s v="http://news.163.com/09/0504/21/58GIG9FA000120GU.html"/>
    <n v="1050"/>
    <n v="1.1949763684949999"/>
    <n v="47.799054739799999"/>
    <m/>
    <m/>
    <m/>
    <m/>
  </r>
  <r>
    <x v="5"/>
    <x v="10"/>
    <x v="1"/>
    <n v="124000000"/>
    <x v="63"/>
    <x v="96"/>
    <s v="https://ijglobal.com/data/transaction/20609/aceh-power-plant"/>
    <x v="16"/>
    <x v="0"/>
    <x v="0"/>
    <x v="90"/>
    <s v="Source for power plant size: http://www.sourcewatch.org/index.php/Nagan_Raya_power_station"/>
    <s v="http://news.163.com/09/0504/21/58GIG9FA000120GU.html"/>
    <n v="220"/>
    <n v="0.25037600101799995"/>
    <n v="10.015040040719999"/>
    <m/>
    <m/>
    <m/>
    <m/>
  </r>
  <r>
    <x v="5"/>
    <x v="10"/>
    <x v="1"/>
    <n v="300000000"/>
    <x v="81"/>
    <x v="97"/>
    <m/>
    <x v="24"/>
    <x v="0"/>
    <x v="0"/>
    <x v="91"/>
    <m/>
    <s v="http://www.sourcewatch.org/index.php/Vinh_Tan_power_station_x000a_http://climatepolicyinitiative.org/wp-content/uploads/2015/11/Slowing-the-Growth-of-Coal-Power-Outside-China.pdf"/>
    <n v="1245"/>
    <n v="1.4169005512155002"/>
    <n v="56.676022048620005"/>
    <m/>
    <m/>
    <m/>
    <m/>
  </r>
  <r>
    <x v="5"/>
    <x v="10"/>
    <x v="1"/>
    <n v="510000000"/>
    <x v="82"/>
    <x v="98"/>
    <m/>
    <x v="24"/>
    <x v="0"/>
    <x v="0"/>
    <x v="41"/>
    <m/>
    <s v="http://www.sourcewatch.org/index.php/Quang_Ninh_power_station_x000a_http://climatepolicyinitiative.org/wp-content/uploads/2015/11/Slowing-the-Growth-of-Coal-Power-Outside-China.pdf"/>
    <n v="600"/>
    <n v="0.68284363914000001"/>
    <n v="27.313745565600001"/>
    <m/>
    <m/>
    <m/>
    <m/>
  </r>
  <r>
    <x v="5"/>
    <x v="10"/>
    <x v="1"/>
    <n v="88000000"/>
    <x v="66"/>
    <x v="74"/>
    <s v="https://ijglobal.com/data/transaction/21504/clp-jhajjar-power-refinancing"/>
    <x v="4"/>
    <x v="0"/>
    <x v="0"/>
    <x v="72"/>
    <s v="Total power plant size is 1320MW, divided equally between the two financers: CDB and China Exim. Power plant size source: https://www.clpindia.in/operations_jhajjar.html"/>
    <m/>
    <n v="660"/>
    <n v="0.75112800305400007"/>
    <n v="30.045120122160004"/>
    <m/>
    <m/>
    <m/>
    <m/>
  </r>
  <r>
    <x v="5"/>
    <x v="10"/>
    <x v="1"/>
    <n v="275871575"/>
    <x v="17"/>
    <x v="75"/>
    <s v="http://www.business-standard.com/article/companies/three-banks-to-support-r-power-s-sasan-project-110121500101_1.html"/>
    <x v="4"/>
    <x v="0"/>
    <x v="0"/>
    <x v="73"/>
    <s v="Bank of China (BOC), China Development Bank (CDB), Export-Import Bank of China (China-EXIM), and Standard Chartered invested a total of $1.1 billion in these projects. No readily available data was found on the breakout so we assumed that each bank invested an equal share. _x000a_The total power plant size is 3960 MW. We divided it equally among the investors. "/>
    <m/>
    <n v="990"/>
    <n v="1.1266920045809998"/>
    <n v="45.067680183239993"/>
    <m/>
    <m/>
    <m/>
    <m/>
  </r>
  <r>
    <x v="5"/>
    <x v="10"/>
    <x v="1"/>
    <n v="333333333.33333331"/>
    <x v="67"/>
    <x v="76"/>
    <s v="http://power.in-en.com/html/power-860048.shtml"/>
    <x v="15"/>
    <x v="0"/>
    <x v="0"/>
    <x v="74"/>
    <s v="Equipment provided by Shanghai Electric Power; Bank of China, China Exim Bank, and China Development Bank together invested $10 billion in this project. No readily available data was found on the breakout so we assumed that each bank invested an equal share."/>
    <s v="http://www.chinamachinex.com/electricity/india/122.html;_x000a_"/>
    <m/>
    <n v="0"/>
    <n v="0"/>
    <m/>
    <m/>
    <m/>
    <m/>
  </r>
  <r>
    <x v="5"/>
    <x v="10"/>
    <x v="1"/>
    <n v="1000000000"/>
    <x v="83"/>
    <x v="99"/>
    <s v="http://www.tradefinancemagazine.com/Article/3090959/Search/Results/China-Exim-provides-loan-for-Texas-IGCC-plant.html?Keywords=coal+plant+finance&amp;PageMove=2"/>
    <x v="37"/>
    <x v="0"/>
    <x v="0"/>
    <x v="49"/>
    <s v="NRDC:_x000a_Media reports indicate that it may be upwards of $1 billion (see: http://ghgnews.com/index.cfm/at-the-major-ccs-projects-tcep-secarb-wa-parish-kemper/)."/>
    <m/>
    <n v="660"/>
    <n v="0.75112800305400007"/>
    <n v="30.045120122160004"/>
    <m/>
    <m/>
    <m/>
    <m/>
  </r>
  <r>
    <x v="5"/>
    <x v="10"/>
    <x v="1"/>
    <n v="344000000"/>
    <x v="84"/>
    <x v="100"/>
    <s v="https://ijglobal.com/articles/75409/china-exim-approves-serbia-thermal-loan"/>
    <x v="26"/>
    <x v="0"/>
    <x v="12"/>
    <x v="92"/>
    <m/>
    <s v="http://www.bloomberg.com/news/2012-09-27/serbia-will-seek-chinese-funding-to-expand-kostolac-power-plant.html"/>
    <n v="350"/>
    <n v="0.39832545616499998"/>
    <n v="15.9330182466"/>
    <m/>
    <m/>
    <m/>
    <m/>
  </r>
  <r>
    <x v="5"/>
    <x v="10"/>
    <x v="1"/>
    <n v="35750000"/>
    <x v="85"/>
    <x v="101"/>
    <s v="https://ijglobal.com/data/transaction/28781/100mw-vietnam-coal-fired-power-project"/>
    <x v="24"/>
    <x v="0"/>
    <x v="0"/>
    <x v="93"/>
    <s v="Total power plant size is 100MW, each share unknown. For the purpose of calculation, equally divided among four financers. "/>
    <m/>
    <n v="25"/>
    <n v="2.8451818297500001E-2"/>
    <n v="1.1380727318999999"/>
    <m/>
    <m/>
    <m/>
    <m/>
  </r>
  <r>
    <x v="5"/>
    <x v="0"/>
    <x v="0"/>
    <n v="433173.96626052674"/>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5"/>
    <x v="1"/>
    <x v="0"/>
    <n v="159324.2070618725"/>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5"/>
    <x v="0"/>
    <x v="0"/>
    <n v="3536865.434517201"/>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5"/>
    <x v="10"/>
    <x v="1"/>
    <n v="1130000000"/>
    <x v="86"/>
    <x v="102"/>
    <m/>
    <x v="22"/>
    <x v="2"/>
    <x v="4"/>
    <x v="94"/>
    <m/>
    <s v="http://www.reuters.com/article/oil-kazakhstan-china-idUSL5E8H667N20120606_x000a_https://www.bu.edu/pardeeschool/files/2016/05/Fueling-Growth.FINAL_.version.pdf"/>
    <m/>
    <n v="0"/>
    <n v="0"/>
    <n v="2.4"/>
    <m/>
    <m/>
    <m/>
  </r>
  <r>
    <x v="5"/>
    <x v="10"/>
    <x v="1"/>
    <n v="850000000"/>
    <x v="87"/>
    <x v="103"/>
    <m/>
    <x v="38"/>
    <x v="2"/>
    <x v="4"/>
    <x v="95"/>
    <m/>
    <s v="http://www.sourcewatch.org/index.php/Tabas_power_station_x000a_http://climatepolicyinitiative.org/wp-content/uploads/2015/11/Slowing-the-Growth-of-Coal-Power-Outside-China.pdf"/>
    <n v="650"/>
    <n v="0.7397472757350001"/>
    <n v="29.589891029400004"/>
    <m/>
    <m/>
    <m/>
    <m/>
  </r>
  <r>
    <x v="5"/>
    <x v="5"/>
    <x v="0"/>
    <n v="7741200"/>
    <x v="49"/>
    <x v="54"/>
    <m/>
    <x v="5"/>
    <x v="0"/>
    <x v="1"/>
    <x v="52"/>
    <s v="ADB Project 43906-014: Source of Funding - ADB LIBOR Based Loan. CFB subcritical "/>
    <m/>
    <n v="15.384615384615385"/>
    <n v="1.750881126E-2"/>
    <n v="0.70035245040000005"/>
    <m/>
    <m/>
    <m/>
    <m/>
  </r>
  <r>
    <x v="5"/>
    <x v="10"/>
    <x v="1"/>
    <n v="608260000"/>
    <x v="88"/>
    <x v="104"/>
    <s v="http://uk.reuters.com/article/2014/12/14/serbia-energy-china-idUKL6N0TY0MD20141214 "/>
    <x v="26"/>
    <x v="0"/>
    <x v="13"/>
    <x v="96"/>
    <s v="Note - additional to Kostolac 2/3 project approved in 2012_x000a_China Machinery Engineering Corporation"/>
    <s v="http://www.sourcewatch.org/index.php/OPM_Kostolac http://cpmconsulting.rs/eng/government-adopts-legal-framework-project-kostolac-b3 http://www.bloomberg.com/news/articles/2013-11-20/serbs-sign-716-million-coal-plant-mine-deal-with-cmec http://www.rts.rs/page/stories/sr/story/13/Ekonomija/1413586/Nikoli%C4%87+sa+kineskom+delegacijom.html (see pp. 7-8) http://www.bloomberg.com/news/articles/2012-09-27/serbia-will-seek-chinese-funding-to-expand-kostolac-power-plant http://www.pp.u-tokyo.ac.jp/research/dp/documents/GraSPP-DP-E-14-003-SOM.pdf http://www.sourcewatch.org/index.php/TPP_Kostolac_Power_Station http://www.reuters.com/article/2013/11/05/serbia-energy-china-idUSL5N0IQ3PF20131105 _x000a_https://en.wikipedia.org/wiki/TPP_Kostolac_B3 http://www.tradefinancemagazine.com/Article/3275764/Sectors/23007/China-Ex-Im-to-fund-1-billion-Serbian-coal-plant.html_x000a_http://bankwatch.org/our-work/projects/kostolac-lignite-power-plant-serbia"/>
    <n v="350"/>
    <n v="0.39832545616499998"/>
    <n v="15.9330182466"/>
    <m/>
    <m/>
    <s v="Construction"/>
    <m/>
  </r>
  <r>
    <x v="5"/>
    <x v="10"/>
    <x v="1"/>
    <n v="360000000"/>
    <x v="89"/>
    <x v="105"/>
    <s v="http://news.xinhuanet.com/english/africa/2013-07/26/c_132577824.htm"/>
    <x v="39"/>
    <x v="0"/>
    <x v="0"/>
    <x v="97"/>
    <m/>
    <s v="http://news.xinhuanet.com/english/africa/2013-07/26/c_132577824.htm"/>
    <n v="318"/>
    <n v="0.3619071287442"/>
    <n v="14.476285149768"/>
    <m/>
    <m/>
    <m/>
    <m/>
  </r>
  <r>
    <x v="5"/>
    <x v="10"/>
    <x v="1"/>
    <n v="300000000"/>
    <x v="90"/>
    <x v="106"/>
    <m/>
    <x v="39"/>
    <x v="0"/>
    <x v="1"/>
    <x v="98"/>
    <m/>
    <s v="http://www.sourcewatch.org/index.php/Jerada_power_station_x000a_http://climatepolicyinitiative.org/wp-content/uploads/2015/11/Slowing-the-Growth-of-Coal-Power-Outside-China.pdf"/>
    <n v="318"/>
    <n v="0.3619071287442"/>
    <n v="14.476285149768"/>
    <m/>
    <m/>
    <m/>
    <m/>
  </r>
  <r>
    <x v="5"/>
    <x v="10"/>
    <x v="1"/>
    <n v="386000000"/>
    <x v="91"/>
    <x v="107"/>
    <s v="http://www.sourcewatch.org/index.php/Bishkek_power_station"/>
    <x v="2"/>
    <x v="0"/>
    <x v="13"/>
    <x v="99"/>
    <s v="Power China"/>
    <s v="http://www.powerchina.cn/art/2016/7/21/art_23_178043.html"/>
    <n v="300"/>
    <n v="0.34142181957000001"/>
    <n v="13.656872782800001"/>
    <m/>
    <m/>
    <s v="new"/>
    <m/>
  </r>
  <r>
    <x v="5"/>
    <x v="10"/>
    <x v="1"/>
    <n v="373009532"/>
    <x v="92"/>
    <x v="108"/>
    <s v="http://china.aiddata.org/projects/39372 http://www.sourcewatch.org/index.php/Pangkalan_Susu_power_station http://www.djppr.kemenkeu.go.id/page/load/1177"/>
    <x v="16"/>
    <x v="0"/>
    <x v="11"/>
    <x v="100"/>
    <s v="Sinohydro"/>
    <s v="http://static.sse.com.cn/disclosure/listedinfo/announcement/c/2015-08-20/601669_20150820_1.pdf"/>
    <n v="400"/>
    <n v="0.45522909276000001"/>
    <n v="18.209163710399999"/>
    <m/>
    <m/>
    <m/>
    <m/>
  </r>
  <r>
    <x v="5"/>
    <x v="10"/>
    <x v="1"/>
    <n v="240983000"/>
    <x v="92"/>
    <x v="109"/>
    <s v="http://china.aiddata.org/projects/39373 _x000a_http://www.bappenas.go.id/files/4314/1387/1046/drppln-2014.pdf http://www.pln.co.id/eng/?p=3165 _x000a_http://www.chinadaily.com.cn/m/gezhouba/2015-05/12/content_20698093.htm http://www.djppr.kemenkeu.go.id/page/load/1177"/>
    <x v="16"/>
    <x v="0"/>
    <x v="11"/>
    <x v="100"/>
    <m/>
    <m/>
    <n v="200"/>
    <n v="0.22761454638"/>
    <n v="9.1045818551999993"/>
    <m/>
    <m/>
    <s v="new"/>
    <m/>
  </r>
  <r>
    <x v="5"/>
    <x v="3"/>
    <x v="0"/>
    <n v="2295545.1039854395"/>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5"/>
    <x v="3"/>
    <x v="0"/>
    <n v="12912441.209918099"/>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5"/>
    <x v="4"/>
    <x v="0"/>
    <n v="510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5"/>
    <x v="0"/>
    <x v="0"/>
    <n v="1119032.7461730274"/>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5"/>
    <x v="4"/>
    <x v="0"/>
    <n v="150960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5"/>
    <x v="1"/>
    <x v="0"/>
    <n v="42486.455216499329"/>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5"/>
    <x v="4"/>
    <x v="0"/>
    <n v="155040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5"/>
    <x v="5"/>
    <x v="0"/>
    <n v="870885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5"/>
    <x v="10"/>
    <x v="1"/>
    <n v="165600000"/>
    <x v="93"/>
    <x v="110"/>
    <s v="http://www.sourcewatch.org/index.php/International_Chinese_coal_projects#Maheshkhali_power_station_.28Huadian.29 http://www.pp.u-tokyo.ac.jp/research/dp/documents/GraSPP-DP-E-14-003-SOM.pdf http://easttime.info/news/china/export-import-bank-china-deliver-165-million-uzbekistan http://easttime.info/news/china/export-import-bank-china-deliver-165-million-uzbekistan http://www.investor.uz/?p=802 http://en.trend.az/business/economy/2188862.html "/>
    <x v="40"/>
    <x v="0"/>
    <x v="13"/>
    <x v="101"/>
    <m/>
    <m/>
    <n v="150"/>
    <n v="0.170710909785"/>
    <n v="6.8284363914000004"/>
    <m/>
    <m/>
    <s v="new"/>
    <m/>
  </r>
  <r>
    <x v="5"/>
    <x v="10"/>
    <x v="1"/>
    <n v="234000000"/>
    <x v="76"/>
    <x v="88"/>
    <s v="https://ijglobal.com/data/transaction/33000/1200mw-vinh-tan-1-coal-fired-thermal-power-plant"/>
    <x v="24"/>
    <x v="0"/>
    <x v="0"/>
    <x v="84"/>
    <s v="Total plant size 1200MW, equally divided among 6 financers: CDB, China Construction Bank, ICBC, Bank of China, China Exim, and Sinosure.   "/>
    <m/>
    <n v="200"/>
    <n v="0.22761454638"/>
    <n v="9.1045818551999993"/>
    <m/>
    <m/>
    <m/>
    <m/>
  </r>
  <r>
    <x v="5"/>
    <x v="10"/>
    <x v="1"/>
    <n v="467330000"/>
    <x v="94"/>
    <x v="111"/>
    <s v="https://ijglobal.com/data/transaction/34394/hai-duong-coal-fired-power-plant-1200mw"/>
    <x v="24"/>
    <x v="0"/>
    <x v="0"/>
    <x v="38"/>
    <s v="Total power plant size is 1200MW, divided equally between the three financers: ICBC, China Exim, and China Construction Bank. "/>
    <m/>
    <n v="400"/>
    <n v="0.45522909276000001"/>
    <n v="18.209163710399999"/>
    <m/>
    <m/>
    <m/>
    <m/>
  </r>
  <r>
    <x v="5"/>
    <x v="4"/>
    <x v="0"/>
    <n v="19332060"/>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5"/>
    <x v="1"/>
    <x v="0"/>
    <n v="446107.779773243"/>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5"/>
    <x v="1"/>
    <x v="0"/>
    <n v="257043.05405982095"/>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5"/>
    <x v="0"/>
    <x v="0"/>
    <n v="673826.16973859712"/>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5"/>
    <x v="0"/>
    <x v="0"/>
    <n v="1094967.5258252204"/>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5"/>
    <x v="10"/>
    <x v="1"/>
    <n v="1200000000"/>
    <x v="95"/>
    <x v="112"/>
    <s v="http://www.esi-africa.com/news/zimbabwe-china-promises-1-2bn-loan-for-hwange-thermal-power-plant-upgrade/"/>
    <x v="41"/>
    <x v="0"/>
    <x v="1"/>
    <x v="102"/>
    <s v="http://www.zpc.co.zw/projects/2/hwange-power-station-expansion_x000a_http://www.reuters.com/article/us-china-africa-zimbabwe-idUSKBN0TK3Q320151201"/>
    <s v="http://www.sourcewatch.org/index.php/Hwange_power_station_x000a_http://www.iea.org/publications/freepublications/publication/Partner_Country_SeriesChinaBoosting_the_Power_Sector_in_SubSaharan_Africa_Chinas_Involvement.pdf"/>
    <n v="600"/>
    <n v="0.68284363914000001"/>
    <n v="27.313745565600001"/>
    <m/>
    <m/>
    <m/>
    <s v="Yes"/>
  </r>
  <r>
    <x v="5"/>
    <x v="10"/>
    <x v="1"/>
    <n v="1200000000"/>
    <x v="96"/>
    <x v="113"/>
    <s v="https://ijglobal.com/data/transaction/33665/tanjung-enim-coal-fired-mine-mouth-power-plant-1240mw"/>
    <x v="16"/>
    <x v="0"/>
    <x v="0"/>
    <x v="103"/>
    <m/>
    <s v="http://www.eximbank.gov.cn/tm/Newdetails/index.aspx?nodeid=343&amp;page=ContentPage&amp;categoryid=0&amp;contentid=27175"/>
    <n v="1320"/>
    <n v="1.5022560061080001"/>
    <n v="60.090240244320007"/>
    <m/>
    <m/>
    <m/>
    <m/>
  </r>
  <r>
    <x v="5"/>
    <x v="1"/>
    <x v="0"/>
    <n v="4248645.5216499334"/>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5"/>
    <x v="1"/>
    <x v="0"/>
    <n v="5948.1037303099065"/>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5"/>
    <x v="11"/>
    <x v="1"/>
    <n v="234000000"/>
    <x v="76"/>
    <x v="88"/>
    <s v="https://ijglobal.com/data/transaction/33000/1200mw-vinh-tan-1-coal-fired-thermal-power-plant"/>
    <x v="24"/>
    <x v="0"/>
    <x v="0"/>
    <x v="84"/>
    <s v="Total plant size 1200MW, equally divided among 6 financers: CDB, China Construction Bank, ICBC, Bank of China, China Exim, and Sinosure.   "/>
    <m/>
    <n v="200"/>
    <n v="0.22761454638"/>
    <n v="9.1045818551999993"/>
    <m/>
    <m/>
    <m/>
    <m/>
  </r>
  <r>
    <x v="5"/>
    <x v="4"/>
    <x v="0"/>
    <n v="29070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5"/>
    <x v="11"/>
    <x v="1"/>
    <n v="365000000"/>
    <x v="97"/>
    <x v="114"/>
    <s v="https://ijglobal.com/data/transaction/32254/maamba-coal-fired-power-plant-phase-i-300mw"/>
    <x v="42"/>
    <x v="0"/>
    <x v="0"/>
    <x v="104"/>
    <s v="This is phase one of two. "/>
    <m/>
    <n v="60"/>
    <n v="6.8284363914000015E-2"/>
    <n v="2.7313745565600005"/>
    <m/>
    <s v="Sinosure, BOC, ICBC, DBSA, IDC SA"/>
    <m/>
    <m/>
  </r>
  <r>
    <x v="6"/>
    <x v="0"/>
    <x v="0"/>
    <n v="23578701.991627287"/>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6"/>
    <x v="1"/>
    <x v="0"/>
    <n v="42433.908010556836"/>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6"/>
    <x v="1"/>
    <x v="0"/>
    <n v="159127.15503958813"/>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6"/>
    <x v="4"/>
    <x v="0"/>
    <n v="7470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6"/>
    <x v="0"/>
    <x v="0"/>
    <n v="1178935.0995813643"/>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m/>
    <m/>
  </r>
  <r>
    <x v="6"/>
    <x v="5"/>
    <x v="0"/>
    <n v="11650"/>
    <x v="39"/>
    <x v="45"/>
    <m/>
    <x v="11"/>
    <x v="0"/>
    <x v="0"/>
    <x v="43"/>
    <s v="ADB Project 42074-012: Source of Funding - ADB/Technical Assistance Special Fund. technical and non-technical study of 600 MW waste-coal based utilization for power generation. ADB does not include in its list; Power Plant emission are divided evenly among the G20 countries that provided funding to the projects. "/>
    <m/>
    <n v="46.153846153846153"/>
    <n v="5.2526433780000006E-2"/>
    <n v="2.1010573512000001"/>
    <m/>
    <s v="Share of full power plant capacity of 600"/>
    <m/>
    <m/>
  </r>
  <r>
    <x v="6"/>
    <x v="6"/>
    <x v="0"/>
    <n v="10383738.360748647"/>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6"/>
    <x v="6"/>
    <x v="0"/>
    <n v="9876155.556977395"/>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6"/>
    <x v="0"/>
    <x v="0"/>
    <n v="34896478.947608389"/>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6"/>
    <x v="12"/>
    <x v="0"/>
    <n v="81305000"/>
    <x v="98"/>
    <x v="115"/>
    <s v="http://www.eib.org/projects/pipeline/2006/20060114.htm"/>
    <x v="43"/>
    <x v="0"/>
    <x v="0"/>
    <x v="105"/>
    <s v="EIB RESPONSE: Signed amount was 343.5 MEUR e.g. about 505 MUSD at 1.67 exchange rate"/>
    <m/>
    <n v="187.5"/>
    <n v="0.21338863723125004"/>
    <n v="8.5355454892500013"/>
    <m/>
    <s v="Share of full power plant capacity of 750"/>
    <m/>
    <m/>
  </r>
  <r>
    <x v="6"/>
    <x v="12"/>
    <x v="0"/>
    <n v="21161761.82052232"/>
    <x v="99"/>
    <x v="116"/>
    <s v="http://www.eib.org/projects/pipeline/2006/20060248.htm"/>
    <x v="44"/>
    <x v="4"/>
    <x v="14"/>
    <x v="106"/>
    <m/>
    <m/>
    <n v="982.5"/>
    <n v="1.1181564590917499"/>
    <n v="44.726258363669999"/>
    <m/>
    <s v="Share of full power plant capacity of 3930"/>
    <m/>
    <m/>
  </r>
  <r>
    <x v="6"/>
    <x v="5"/>
    <x v="0"/>
    <n v="8155"/>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6"/>
    <x v="12"/>
    <x v="0"/>
    <n v="10465000"/>
    <x v="100"/>
    <x v="117"/>
    <s v="http://www.eib.org/projects/loans/2007/20070081.htm"/>
    <x v="30"/>
    <x v="0"/>
    <x v="0"/>
    <x v="107"/>
    <s v="EIB RESPONSE: The part of the EIB loan allocated to the coal CHP was 22% of the total loan, i.e 65 MEUR"/>
    <s v="http://www.eib.org/attachments/pipeline/20070081_nts1_pl.pdf"/>
    <n v="46"/>
    <n v="5.2351345667400004E-2"/>
    <n v="2.0940538266960003"/>
    <m/>
    <s v="Share of full power plant capacity of 184"/>
    <m/>
    <m/>
  </r>
  <r>
    <x v="6"/>
    <x v="6"/>
    <x v="0"/>
    <n v="4797025.7225509658"/>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6"/>
    <x v="6"/>
    <x v="0"/>
    <n v="6469618.9163542967"/>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6"/>
    <x v="1"/>
    <x v="0"/>
    <n v="416761.5965322546"/>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6"/>
    <x v="12"/>
    <x v="0"/>
    <n v="6858157.5609657103"/>
    <x v="101"/>
    <x v="118"/>
    <s v="http://www.eib.org/projects/loans/2009/20090514.htm"/>
    <x v="29"/>
    <x v="4"/>
    <x v="14"/>
    <x v="108"/>
    <m/>
    <s v="http://www.minind.ro/international/printable/ER1/ER1.318.06.pdf"/>
    <n v="66.25"/>
    <n v="7.5397318488374998E-2"/>
    <n v="3.0158927395349999"/>
    <m/>
    <s v="Share of full power plant capacity of 265"/>
    <m/>
    <m/>
  </r>
  <r>
    <x v="6"/>
    <x v="12"/>
    <x v="0"/>
    <n v="118169452.15940833"/>
    <x v="102"/>
    <x v="119"/>
    <s v="http://www.eib.org/projects/pipeline/2006/20060303.htm"/>
    <x v="43"/>
    <x v="0"/>
    <x v="0"/>
    <x v="109"/>
    <m/>
    <s v="http://www.promecon.com/en/power/projects/power-station-in-karlsruhe"/>
    <n v="255"/>
    <n v="0.29020854663450002"/>
    <n v="11.608341865380002"/>
    <m/>
    <s v="Share of full power plant capacity of 1020"/>
    <m/>
    <m/>
  </r>
  <r>
    <x v="6"/>
    <x v="5"/>
    <x v="0"/>
    <n v="20982232.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6"/>
    <x v="5"/>
    <x v="0"/>
    <n v="1642650"/>
    <x v="31"/>
    <x v="36"/>
    <s v="https://ijglobal.com/data/transaction/21533/khulna-ipp-150mw"/>
    <x v="23"/>
    <x v="0"/>
    <x v="0"/>
    <x v="34"/>
    <s v="ADB RESPONSE: This was not found in ADB project database."/>
    <m/>
    <m/>
    <n v="0"/>
    <n v="0"/>
    <m/>
    <m/>
    <m/>
    <m/>
  </r>
  <r>
    <x v="6"/>
    <x v="5"/>
    <x v="0"/>
    <n v="4660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6"/>
    <x v="5"/>
    <x v="0"/>
    <n v="649138"/>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6"/>
    <x v="6"/>
    <x v="0"/>
    <n v="18425663.35256977"/>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6"/>
    <x v="2"/>
    <x v="0"/>
    <n v="2786965.1535330722"/>
    <x v="3"/>
    <x v="3"/>
    <s v="http://www.shiftthesubsidies.org/projects/713"/>
    <x v="3"/>
    <x v="0"/>
    <x v="0"/>
    <x v="3"/>
    <m/>
    <m/>
    <n v="60"/>
    <n v="6.8284363914000015E-2"/>
    <n v="2.7313745565600005"/>
    <m/>
    <m/>
    <m/>
    <m/>
  </r>
  <r>
    <x v="6"/>
    <x v="2"/>
    <x v="0"/>
    <n v="947947.33113369811"/>
    <x v="4"/>
    <x v="4"/>
    <s v="http://www.shiftthesubsidies.org/projects/707"/>
    <x v="3"/>
    <x v="0"/>
    <x v="0"/>
    <x v="3"/>
    <m/>
    <m/>
    <n v="30"/>
    <n v="3.4142181957000008E-2"/>
    <n v="1.3656872782800002"/>
    <m/>
    <m/>
    <m/>
    <m/>
  </r>
  <r>
    <x v="6"/>
    <x v="0"/>
    <x v="0"/>
    <n v="377259.2318660366"/>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6"/>
    <x v="12"/>
    <x v="0"/>
    <n v="18466471.640521713"/>
    <x v="103"/>
    <x v="120"/>
    <s v="http://www.eib.org/projects/pipeline/2005/20050177.htm"/>
    <x v="45"/>
    <x v="4"/>
    <x v="14"/>
    <x v="29"/>
    <m/>
    <m/>
    <n v="400"/>
    <n v="0.45522909276000001"/>
    <n v="18.209163710399999"/>
    <m/>
    <s v="Share of full power plant capacity of 1600"/>
    <m/>
    <m/>
  </r>
  <r>
    <x v="6"/>
    <x v="13"/>
    <x v="1"/>
    <n v="757438526.63520002"/>
    <x v="104"/>
    <x v="121"/>
    <s v="http://www.coface.fr/content/download/2745/38735/version/1/file/gc02_11.pdf"/>
    <x v="7"/>
    <x v="0"/>
    <x v="0"/>
    <x v="110"/>
    <s v="Unit 6: 2015; Unit 5: 2016; Units 1-4: 2017-2021. This final loan was made sometime between April and June 2011. We have documented it as May to fall in the middle of that range and used the currency conversion rate for May 15."/>
    <s v="http://www.sourcewatch.org/index.php/Medupi_Power_Station"/>
    <m/>
    <n v="0"/>
    <n v="0"/>
    <m/>
    <m/>
    <m/>
    <m/>
  </r>
  <r>
    <x v="6"/>
    <x v="5"/>
    <x v="0"/>
    <n v="21036405"/>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6"/>
    <x v="0"/>
    <x v="0"/>
    <n v="92567279.526562884"/>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6"/>
    <x v="3"/>
    <x v="0"/>
    <n v="4910774.9281642037"/>
    <x v="7"/>
    <x v="7"/>
    <s v="http://www.afdb.org/en/news-and-events/article/afdb-approves-eur-153-million-for-botswana-power-project-5255/"/>
    <x v="6"/>
    <x v="0"/>
    <x v="0"/>
    <x v="6"/>
    <m/>
    <m/>
    <n v="20"/>
    <n v="2.2761454637999997E-2"/>
    <n v="0.91045818551999991"/>
    <m/>
    <s v="Share of full power plant capacity of 600MW"/>
    <m/>
    <m/>
  </r>
  <r>
    <x v="6"/>
    <x v="3"/>
    <x v="0"/>
    <n v="99225428.77380158"/>
    <x v="8"/>
    <x v="8"/>
    <s v="http://www.afdb.org/en/projects-and-operations/project-portfolio/project/p-za-faa-001/"/>
    <x v="7"/>
    <x v="0"/>
    <x v="0"/>
    <x v="7"/>
    <m/>
    <m/>
    <n v="160"/>
    <n v="0.18209163710399998"/>
    <n v="7.2836654841599993"/>
    <m/>
    <s v="Share of full power plant capacity of 4800, split with WBG"/>
    <m/>
    <m/>
  </r>
  <r>
    <x v="6"/>
    <x v="3"/>
    <x v="0"/>
    <n v="3109812.9428935158"/>
    <x v="9"/>
    <x v="9"/>
    <s v="http://www.afdb.org/en/news-and-events/article/senior-loan-of-up-to-euro-55-million-to-sendou-power-project-in-senegal-5513/"/>
    <x v="8"/>
    <x v="0"/>
    <x v="0"/>
    <x v="7"/>
    <m/>
    <m/>
    <n v="8.3333333333333339"/>
    <n v="9.4839394324999996E-3"/>
    <n v="0.37935757729999997"/>
    <m/>
    <s v="Share of full power plant capacity of 125"/>
    <m/>
    <s v="Yes"/>
  </r>
  <r>
    <x v="6"/>
    <x v="5"/>
    <x v="0"/>
    <n v="104850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6"/>
    <x v="5"/>
    <x v="0"/>
    <m/>
    <x v="36"/>
    <x v="42"/>
    <s v="http://www.adb.org/sites/default/files/projdocs/2008/41958-PHI-RRP.pdf_x000a_http://www.adb.org/sites/default/files/projdocs/2008/41958-PHI-RRP.pdf"/>
    <x v="5"/>
    <x v="0"/>
    <x v="1"/>
    <x v="40"/>
    <n v="2796000"/>
    <m/>
    <m/>
    <n v="0"/>
    <n v="0"/>
    <m/>
    <s v="ADB Project 41958-014: Source of Funding - ADB Ordinary Capital Resources. ADB does not include in its list.; Power Plant emission are divided evenly among the G20 countries that provided funding to the projects. "/>
    <s v="CANCELLED"/>
    <m/>
  </r>
  <r>
    <x v="6"/>
    <x v="6"/>
    <x v="0"/>
    <n v="2690146.8494751859"/>
    <x v="38"/>
    <x v="44"/>
    <s v="http://www.ebrd.com/work-with-us/projects/psd/mak.html"/>
    <x v="9"/>
    <x v="1"/>
    <x v="2"/>
    <x v="42"/>
    <s v="Expansion of Eldev coal mine. Mongolyn Alt Corporation (‘MAK’ or the ‘Company’), a medium-sized Mongolian mining company producing coal"/>
    <m/>
    <m/>
    <n v="0"/>
    <n v="0"/>
    <m/>
    <s v="Yes"/>
    <m/>
    <m/>
  </r>
  <r>
    <x v="6"/>
    <x v="12"/>
    <x v="0"/>
    <n v="13723740.742281655"/>
    <x v="105"/>
    <x v="122"/>
    <s v="http://www.eib.org/projects/loans/2008/20080679.htm"/>
    <x v="30"/>
    <x v="0"/>
    <x v="0"/>
    <x v="111"/>
    <m/>
    <s v="http://www.banktrack.org/manage/ajax/ems_dodgydeals/createPDF/ostroleka_c_coal_and_biomass_power_plant"/>
    <n v="50.25"/>
    <n v="5.7188154777975002E-2"/>
    <n v="2.2875261911189999"/>
    <m/>
    <s v="Share of full power plant capacity of 201"/>
    <m/>
    <m/>
  </r>
  <r>
    <x v="6"/>
    <x v="1"/>
    <x v="0"/>
    <n v="426233.45099889679"/>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6"/>
    <x v="12"/>
    <x v="0"/>
    <n v="14325511.997638566"/>
    <x v="106"/>
    <x v="123"/>
    <s v="http://www.eib.org/projects/pipeline/2010/20100270.htm"/>
    <x v="30"/>
    <x v="0"/>
    <x v="0"/>
    <x v="112"/>
    <m/>
    <m/>
    <n v="39"/>
    <n v="4.4384836544100005E-2"/>
    <n v="1.7753934617640001"/>
    <m/>
    <s v="Share of full power plant capacity of 156"/>
    <m/>
    <m/>
  </r>
  <r>
    <x v="6"/>
    <x v="6"/>
    <x v="0"/>
    <n v="7311834.7986874059"/>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6"/>
    <x v="6"/>
    <x v="0"/>
    <m/>
    <x v="42"/>
    <x v="48"/>
    <s v="http://www.ebrd.com/work-with-us/projects/psd/oltenia---turceni-rehabilitation.html"/>
    <x v="29"/>
    <x v="0"/>
    <x v="1"/>
    <x v="37"/>
    <m/>
    <m/>
    <m/>
    <n v="0"/>
    <n v="0"/>
    <m/>
    <s v="Financing for the rehabilitation and modernisation of unit 6 of CET Oltenia’s Turceni lignite fired power plant"/>
    <s v="CANCELLED"/>
    <m/>
  </r>
  <r>
    <x v="6"/>
    <x v="6"/>
    <x v="0"/>
    <n v="4974929.1051938375"/>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6"/>
    <x v="6"/>
    <x v="0"/>
    <n v="3163317.8843691777"/>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6"/>
    <x v="13"/>
    <x v="1"/>
    <n v="93916935.606000006"/>
    <x v="104"/>
    <x v="121"/>
    <s v="http://www.coface.fr/content/download/2742/38728/version/2/file/Contrats+gtis+3%C3%A8me+trimestre+2011.pdf"/>
    <x v="7"/>
    <x v="0"/>
    <x v="0"/>
    <x v="62"/>
    <s v="This final loan was made sometime between July and September 2011. We have documented it as August to fall in the middle of that range and used the currency conversion rate for August 15."/>
    <m/>
    <m/>
    <n v="0"/>
    <n v="0"/>
    <m/>
    <m/>
    <m/>
    <m/>
  </r>
  <r>
    <x v="6"/>
    <x v="0"/>
    <x v="0"/>
    <n v="21220831.792464558"/>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6"/>
    <x v="5"/>
    <x v="0"/>
    <n v="4660"/>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6"/>
    <x v="12"/>
    <x v="0"/>
    <n v="92899168.101598889"/>
    <x v="107"/>
    <x v="124"/>
    <s v="http://www.eib.org/attachments/pipeline/20060319_nts_en.pdf"/>
    <x v="31"/>
    <x v="0"/>
    <x v="0"/>
    <x v="113"/>
    <s v="Emissions counted from 2003 loan"/>
    <m/>
    <m/>
    <n v="0"/>
    <n v="0"/>
    <m/>
    <m/>
    <m/>
    <m/>
  </r>
  <r>
    <x v="6"/>
    <x v="4"/>
    <x v="0"/>
    <n v="415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6"/>
    <x v="12"/>
    <x v="0"/>
    <n v="25070873.909512851"/>
    <x v="108"/>
    <x v="125"/>
    <s v="http://www.eib.org/projects/pipeline/2006/20060319.htm"/>
    <x v="31"/>
    <x v="0"/>
    <x v="0"/>
    <x v="114"/>
    <m/>
    <s v="http://www.eib.org/infocentre/press/news/topical_briefs/2013-march-01/tes-thermal-power-plant-sostanj-project-slovenia.htm_x000a_http://www.eib.org/infocentre/press/releases/all/2007/2007-093-eib-supports-environmental-improvement-in-slovenia.htm"/>
    <n v="180"/>
    <n v="0.204853091742"/>
    <n v="8.1941236696799997"/>
    <m/>
    <s v="Share of full power plant capacity of 720"/>
    <m/>
    <m/>
  </r>
  <r>
    <x v="6"/>
    <x v="6"/>
    <x v="0"/>
    <n v="11884552.8624075"/>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6"/>
    <x v="13"/>
    <x v="1"/>
    <n v="705914063.51189995"/>
    <x v="104"/>
    <x v="126"/>
    <s v="http://www.coface.fr/content/download/2739/38717/version/2/file/Contrats+gtis+1er+trimestre+2012.pdf"/>
    <x v="7"/>
    <x v="0"/>
    <x v="0"/>
    <x v="115"/>
    <s v="This final loan was made sometime between January and March 2012. We have documented it as February to fall in the middle of that range and used the currency conversion rate for February 14._x000a_The first unit will come online in 2017. "/>
    <s v="http://www.eskom.co.za/Whatweredoing/NewBuild/Pages/Kusile_Power_Station.aspx "/>
    <n v="800"/>
    <n v="0.91045818552000002"/>
    <n v="36.418327420799997"/>
    <m/>
    <s v="4800 MW plant. 3 banks: COFACE, Hermes, and Ex-Im. The MW is divided between the three banks. The spending by COFACE was made up of two payments. The third of the MW was divided by two for each of COFACE's payments"/>
    <m/>
    <m/>
  </r>
  <r>
    <x v="6"/>
    <x v="13"/>
    <x v="1"/>
    <n v="83563944.476999998"/>
    <x v="104"/>
    <x v="127"/>
    <s v="http://www.coface.fr/content/download/46639/532929/version/4/file/Contrats+gtis+2%C3%A8me+trimestre+2013.pdf"/>
    <x v="7"/>
    <x v="2"/>
    <x v="4"/>
    <x v="116"/>
    <s v="This final loan was made sometime between April and June 2013. We have documented it as May to fall in the middle of that range and used the currency conversion rate for May 15."/>
    <m/>
    <n v="800"/>
    <n v="0.91045818552000002"/>
    <n v="36.418327420799997"/>
    <m/>
    <s v="4800 MW plant. 3 banks: COFACE, Hermes, and Ex-Im. The MW is divided between the three banks. The spending by COFACE was made up of two payments. The third of the MW was divided by two for each of COFACE's payments"/>
    <m/>
    <m/>
  </r>
  <r>
    <x v="6"/>
    <x v="1"/>
    <x v="0"/>
    <n v="795635.77519794065"/>
    <x v="62"/>
    <x v="68"/>
    <s v="http://www.afdb.org/fileadmin/uploads/afdb/Documents/Project-and-Operations/Project_Brief_Nacala_Rail___Port__Project__Multinational_2015.pdf"/>
    <x v="34"/>
    <x v="2"/>
    <x v="4"/>
    <x v="66"/>
    <s v="Total Financing - $150 mil loan. As stated on the World Bank website under 'Details' - 'Sectors': Coal Mining - 7%. Amount included is $150 mil * .07 =$21,000,000 _x000a__x000a_No link to coal. Wrong sector coding. There is no coal or coal mining in Cote D’Ivoire. "/>
    <s v="http://www.worldbank.org/projects/P122800/ci-egrg-econ-gov-recovery-4?lang=en&amp;tab=overview"/>
    <m/>
    <n v="0"/>
    <n v="0"/>
    <m/>
    <s v="WBG"/>
    <m/>
    <m/>
  </r>
  <r>
    <x v="6"/>
    <x v="0"/>
    <x v="0"/>
    <n v="848833.27169858234"/>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6"/>
    <x v="1"/>
    <x v="0"/>
    <n v="284155.63399926451"/>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6"/>
    <x v="0"/>
    <x v="0"/>
    <n v="6930723.6634189254"/>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6"/>
    <x v="5"/>
    <x v="0"/>
    <n v="2796000"/>
    <x v="49"/>
    <x v="54"/>
    <m/>
    <x v="5"/>
    <x v="0"/>
    <x v="1"/>
    <x v="52"/>
    <s v="ADB Project 43906-014: Source of Funding - ADB LIBOR Based Loan. CFB subcritical "/>
    <m/>
    <n v="15.384615384615385"/>
    <n v="1.750881126E-2"/>
    <n v="0.70035245040000005"/>
    <m/>
    <m/>
    <m/>
    <m/>
  </r>
  <r>
    <x v="6"/>
    <x v="3"/>
    <x v="0"/>
    <n v="7489013.7095569316"/>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6"/>
    <x v="6"/>
    <x v="0"/>
    <n v="7574605.9476079065"/>
    <x v="50"/>
    <x v="55"/>
    <s v="http://www.ebrd.com/work-with-us/projects/psd/tgk13-capacity-financing-.html"/>
    <x v="28"/>
    <x v="0"/>
    <x v="1"/>
    <x v="53"/>
    <m/>
    <m/>
    <n v="15.416666666666666"/>
    <n v="1.7545287950124999E-2"/>
    <n v="0.70181151800499997"/>
    <m/>
    <m/>
    <m/>
    <m/>
  </r>
  <r>
    <x v="6"/>
    <x v="3"/>
    <x v="0"/>
    <n v="42125702.116257735"/>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6"/>
    <x v="0"/>
    <x v="0"/>
    <n v="2192819.2852213378"/>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6"/>
    <x v="4"/>
    <x v="0"/>
    <n v="122840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6"/>
    <x v="6"/>
    <x v="0"/>
    <n v="1452552.1616394678"/>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6"/>
    <x v="1"/>
    <x v="0"/>
    <n v="75774.835733137195"/>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6"/>
    <x v="4"/>
    <x v="0"/>
    <n v="126160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6"/>
    <x v="5"/>
    <x v="0"/>
    <n v="314550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6"/>
    <x v="6"/>
    <x v="0"/>
    <n v="1711108.4400680675"/>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6"/>
    <x v="4"/>
    <x v="0"/>
    <n v="15730990"/>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6"/>
    <x v="1"/>
    <x v="0"/>
    <n v="458437.7561854801"/>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6"/>
    <x v="0"/>
    <x v="0"/>
    <n v="1320407.3115311281"/>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6"/>
    <x v="0"/>
    <x v="0"/>
    <n v="2145661.8812380834"/>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6"/>
    <x v="1"/>
    <x v="0"/>
    <n v="7577483.5733137205"/>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6"/>
    <x v="1"/>
    <x v="0"/>
    <n v="10608.477002639209"/>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6"/>
    <x v="6"/>
    <x v="0"/>
    <n v="3109330.6907461486"/>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6"/>
    <x v="6"/>
    <x v="0"/>
    <n v="2616444.1960649067"/>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6"/>
    <x v="4"/>
    <x v="0"/>
    <n v="23655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7"/>
    <x v="0"/>
    <x v="0"/>
    <n v="25116583.203211918"/>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7"/>
    <x v="1"/>
    <x v="0"/>
    <n v="61336.898922620327"/>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7"/>
    <x v="1"/>
    <x v="0"/>
    <n v="230013.37095982622"/>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7"/>
    <x v="4"/>
    <x v="0"/>
    <n v="8316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7"/>
    <x v="0"/>
    <x v="0"/>
    <n v="1340000"/>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7"/>
    <x v="6"/>
    <x v="0"/>
    <n v="10383738.360748647"/>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7"/>
    <x v="5"/>
    <x v="0"/>
    <n v="21655"/>
    <x v="39"/>
    <x v="45"/>
    <m/>
    <x v="11"/>
    <x v="0"/>
    <x v="0"/>
    <x v="43"/>
    <s v="ADB Project 42074-012: Source of Funding - ADB/Technical Assistance Special Fund. technical and non-technical study of 600 MW waste-coal based utilization for power generation. ADB does not include in its list; Power Plant emission are divided evenly among the G20 countries that provided funding to the projects. "/>
    <m/>
    <n v="46.153846153846153"/>
    <n v="5.2526433780000006E-2"/>
    <n v="2.1010573512000001"/>
    <m/>
    <s v="Share of full power plant capacity of 600"/>
    <m/>
    <m/>
  </r>
  <r>
    <x v="7"/>
    <x v="14"/>
    <x v="1"/>
    <n v="5336179.2956243325"/>
    <x v="33"/>
    <x v="128"/>
    <m/>
    <x v="46"/>
    <x v="1"/>
    <x v="2"/>
    <x v="117"/>
    <s v="Parliamentary Inquiry. Coal-to-liquids"/>
    <m/>
    <m/>
    <n v="0"/>
    <n v="0"/>
    <m/>
    <m/>
    <m/>
    <m/>
  </r>
  <r>
    <x v="7"/>
    <x v="14"/>
    <x v="1"/>
    <n v="7470651.0138740661"/>
    <x v="33"/>
    <x v="129"/>
    <m/>
    <x v="28"/>
    <x v="1"/>
    <x v="2"/>
    <x v="117"/>
    <s v="Parliamentary Inquiry. 7m Euros"/>
    <m/>
    <m/>
    <n v="0"/>
    <n v="0"/>
    <m/>
    <m/>
    <m/>
    <m/>
  </r>
  <r>
    <x v="7"/>
    <x v="14"/>
    <x v="1"/>
    <n v="14941302.027748132"/>
    <x v="33"/>
    <x v="130"/>
    <m/>
    <x v="21"/>
    <x v="1"/>
    <x v="2"/>
    <x v="117"/>
    <s v="Parliamentary Inquiry. Coal-to-liquids"/>
    <m/>
    <m/>
    <n v="0"/>
    <n v="0"/>
    <m/>
    <m/>
    <m/>
    <m/>
  </r>
  <r>
    <x v="7"/>
    <x v="6"/>
    <x v="0"/>
    <n v="9876155.556977395"/>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7"/>
    <x v="4"/>
    <x v="0"/>
    <n v="462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7"/>
    <x v="15"/>
    <x v="2"/>
    <n v="102093172.61862525"/>
    <x v="33"/>
    <x v="39"/>
    <m/>
    <x v="25"/>
    <x v="2"/>
    <x v="15"/>
    <x v="118"/>
    <s v="KfW response to Parliament says that in 2007 they invested 104,487,000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_x000a__x000a_Response to Parliamentary Inquiry in 2013 on total coal funding"/>
    <s v="http://www.irs.gov/Individuals/International-Taxpayers/Yearly-Average-Currency-Exchange-Rates"/>
    <m/>
    <n v="0"/>
    <n v="0"/>
    <m/>
    <m/>
    <m/>
    <m/>
  </r>
  <r>
    <x v="7"/>
    <x v="14"/>
    <x v="1"/>
    <n v="88900000"/>
    <x v="33"/>
    <x v="39"/>
    <m/>
    <x v="25"/>
    <x v="1"/>
    <x v="2"/>
    <x v="118"/>
    <s v="OECD data on export credit support for fossil fuel power plants and fossil fuel extraction projects, 9 October 2014"/>
    <m/>
    <m/>
    <n v="0"/>
    <n v="0"/>
    <m/>
    <m/>
    <m/>
    <m/>
  </r>
  <r>
    <x v="7"/>
    <x v="14"/>
    <x v="1"/>
    <n v="9100000"/>
    <x v="33"/>
    <x v="131"/>
    <s v="http://www.exim.gov/about/library/reports/annualreports/2008/upload/AuthorizationsListings.pdf"/>
    <x v="47"/>
    <x v="0"/>
    <x v="0"/>
    <x v="118"/>
    <s v="OECD data on export credit support for fossil fuel power plants and fossil fuel extraction projects, 9 October 2014"/>
    <s v="http://bankwatch.org/sites/default/files/BlackCloudsLooming-TurkeyCoal.pdf"/>
    <n v="53.3"/>
    <n v="6.0659276610270006E-2"/>
    <n v="2.4263710644108003"/>
    <m/>
    <s v="160 MW plant shared by Hemes, EXIM SR, and EKM"/>
    <m/>
    <m/>
  </r>
  <r>
    <x v="7"/>
    <x v="16"/>
    <x v="2"/>
    <n v="21795162.523480002"/>
    <x v="109"/>
    <x v="132"/>
    <s v="https://www.kfw.de/KfW-Group/Newsroom/Aktuelles/Pressemitteilungen/Pressemitteilungen-Details_10531.html"/>
    <x v="48"/>
    <x v="1"/>
    <x v="2"/>
    <x v="119"/>
    <s v="Reported as 3,800 t/hr. In the press release is written 2007."/>
    <s v="http://www.elem.com.mk/index.php?option=com_content&amp;view=article&amp;id=76&amp;Itemid=115&amp;lang=en"/>
    <m/>
    <n v="0"/>
    <n v="0"/>
    <n v="33"/>
    <m/>
    <m/>
    <m/>
  </r>
  <r>
    <x v="7"/>
    <x v="17"/>
    <x v="2"/>
    <m/>
    <x v="110"/>
    <x v="133"/>
    <m/>
    <x v="43"/>
    <x v="0"/>
    <x v="0"/>
    <x v="120"/>
    <m/>
    <m/>
    <m/>
    <n v="0"/>
    <n v="0"/>
    <m/>
    <m/>
    <m/>
    <m/>
  </r>
  <r>
    <x v="7"/>
    <x v="0"/>
    <x v="0"/>
    <n v="37172543.140753634"/>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7"/>
    <x v="15"/>
    <x v="2"/>
    <n v="13594560"/>
    <x v="111"/>
    <x v="134"/>
    <s v="http://www.edf.org/sites/default/files/9584_coal-plants-spreadsheet.xls"/>
    <x v="4"/>
    <x v="0"/>
    <x v="0"/>
    <x v="121"/>
    <m/>
    <s v="http://www.sourcewatch.org/index.php/Lanco_Amarkantak_Thermal_Power_Project"/>
    <n v="600"/>
    <n v="0.68284363914000001"/>
    <n v="27.313745565600001"/>
    <m/>
    <m/>
    <m/>
    <m/>
  </r>
  <r>
    <x v="7"/>
    <x v="12"/>
    <x v="0"/>
    <n v="81305000"/>
    <x v="98"/>
    <x v="115"/>
    <s v="http://www.eib.org/projects/pipeline/2006/20060114.htm"/>
    <x v="43"/>
    <x v="0"/>
    <x v="0"/>
    <x v="105"/>
    <s v="EIB RESPONSE: Signed amount was 343.5 MEUR e.g. about 505 MUSD at 1.67 exchange rate"/>
    <m/>
    <n v="187.5"/>
    <n v="0.21338863723125004"/>
    <n v="8.5355454892500013"/>
    <m/>
    <s v="Share of full power plant capacity of 750"/>
    <m/>
    <m/>
  </r>
  <r>
    <x v="7"/>
    <x v="12"/>
    <x v="0"/>
    <n v="21161761.82052232"/>
    <x v="99"/>
    <x v="116"/>
    <s v="http://www.eib.org/projects/pipeline/2006/20060248.htm"/>
    <x v="44"/>
    <x v="4"/>
    <x v="14"/>
    <x v="106"/>
    <m/>
    <m/>
    <n v="982.5"/>
    <n v="1.1181564590917499"/>
    <n v="44.726258363669999"/>
    <m/>
    <s v="Share of full power plant capacity of 3930"/>
    <m/>
    <m/>
  </r>
  <r>
    <x v="7"/>
    <x v="5"/>
    <x v="0"/>
    <n v="15158.5"/>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7"/>
    <x v="12"/>
    <x v="0"/>
    <n v="10465000"/>
    <x v="100"/>
    <x v="117"/>
    <s v="http://www.eib.org/projects/loans/2007/20070081.htm"/>
    <x v="30"/>
    <x v="0"/>
    <x v="0"/>
    <x v="107"/>
    <s v="EIB RESPONSE: The part of the EIB loan allocated to the coal CHP was 22% of the total loan, i.e 65 MEUR"/>
    <s v="http://www.eib.org/attachments/pipeline/20070081_nts1_pl.pdf"/>
    <n v="46"/>
    <n v="5.2351345667400004E-2"/>
    <n v="2.0940538266960003"/>
    <m/>
    <s v="Share of full power plant capacity of 184"/>
    <m/>
    <m/>
  </r>
  <r>
    <x v="7"/>
    <x v="6"/>
    <x v="0"/>
    <n v="4797025.7225509658"/>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7"/>
    <x v="6"/>
    <x v="0"/>
    <n v="6469618.9163542967"/>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7"/>
    <x v="1"/>
    <x v="0"/>
    <n v="602415.97156144958"/>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7"/>
    <x v="12"/>
    <x v="0"/>
    <n v="6858157.5609657103"/>
    <x v="101"/>
    <x v="118"/>
    <s v="http://www.eib.org/projects/loans/2009/20090514.htm"/>
    <x v="29"/>
    <x v="4"/>
    <x v="14"/>
    <x v="108"/>
    <m/>
    <s v="http://www.minind.ro/international/printable/ER1/ER1.318.06.pdf"/>
    <n v="66.25"/>
    <n v="7.5397318488374998E-2"/>
    <n v="3.0158927395349999"/>
    <m/>
    <s v="Share of full power plant capacity of 265"/>
    <m/>
    <m/>
  </r>
  <r>
    <x v="7"/>
    <x v="17"/>
    <x v="2"/>
    <n v="413450000"/>
    <x v="112"/>
    <x v="135"/>
    <s v="http://www.edf.org/sites/default/files/9584_coal-plants-spreadsheet.xls"/>
    <x v="4"/>
    <x v="0"/>
    <x v="0"/>
    <x v="122"/>
    <s v="8/7/2004; refinanced in 2008 **The German bank (KfW) provided a loan of Rs. 1,871 crores for the project. 2x800 MW Sri Damodaram Sanjeevaiah Thermal Power Plant. The loan agreement was signed in December 2004. In December 2008, the financing of the supercritical power plant was agreed in a contract modification to the loan agreement of 2008 (Source parlamentarian question 2011)."/>
    <s v="http://www.thehindu.com/todays-paper/tp-national/tp-andhrapradesh/nelatur-power-plant-1st-unit-to-be-ready-by-2013/article2877294.ece"/>
    <n v="1600"/>
    <n v="1.82091637104"/>
    <n v="72.836654841599994"/>
    <m/>
    <m/>
    <m/>
    <m/>
  </r>
  <r>
    <x v="7"/>
    <x v="17"/>
    <x v="2"/>
    <m/>
    <x v="33"/>
    <x v="136"/>
    <s v="https://ijglobal.com/data/transaction/18406/462mw-aes-angamos-coal-fired-power-plant"/>
    <x v="1"/>
    <x v="0"/>
    <x v="0"/>
    <x v="122"/>
    <m/>
    <m/>
    <n v="460"/>
    <n v="0.52351345667400007"/>
    <n v="20.940538266960004"/>
    <m/>
    <m/>
    <m/>
    <m/>
  </r>
  <r>
    <x v="7"/>
    <x v="15"/>
    <x v="2"/>
    <m/>
    <x v="33"/>
    <x v="133"/>
    <m/>
    <x v="43"/>
    <x v="0"/>
    <x v="0"/>
    <x v="122"/>
    <m/>
    <m/>
    <m/>
    <n v="0"/>
    <n v="0"/>
    <m/>
    <m/>
    <m/>
    <m/>
  </r>
  <r>
    <x v="7"/>
    <x v="17"/>
    <x v="2"/>
    <m/>
    <x v="33"/>
    <x v="39"/>
    <m/>
    <x v="25"/>
    <x v="2"/>
    <x v="15"/>
    <x v="122"/>
    <s v="KfW response to Parliament says that in 2008 they invested 578,463,487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_x000a__x000a_Response to Parliamentary Inquiry in 2013 on total coal funding "/>
    <s v="http://www.irs.gov/Individuals/International-Taxpayers/Yearly-Average-Currency-Exchange-Rates"/>
    <m/>
    <n v="0"/>
    <n v="0"/>
    <m/>
    <m/>
    <m/>
    <m/>
  </r>
  <r>
    <x v="7"/>
    <x v="14"/>
    <x v="1"/>
    <n v="22257209.565000001"/>
    <x v="113"/>
    <x v="137"/>
    <s v="http://www.agaportal.de/en/aga/projektinformationen/projektinformation_2008.html"/>
    <x v="22"/>
    <x v="1"/>
    <x v="2"/>
    <x v="122"/>
    <s v="The German website cited lists this as a &quot;category 2&quot; project which is defined as projects receiving &quot;up to 50 million euro in cover&quot;. Conservatively we have included this as 15 million euros even though it could be up to 50 million since the lower category -- category 1 is for &quot;up to 15 million euros). We converted to USD using the rate at the end of January since no exact date has been provided."/>
    <m/>
    <m/>
    <n v="0"/>
    <n v="0"/>
    <m/>
    <m/>
    <m/>
    <m/>
  </r>
  <r>
    <x v="7"/>
    <x v="12"/>
    <x v="0"/>
    <n v="118169452.15940833"/>
    <x v="102"/>
    <x v="119"/>
    <s v="http://www.eib.org/projects/pipeline/2006/20060303.htm"/>
    <x v="43"/>
    <x v="0"/>
    <x v="0"/>
    <x v="109"/>
    <m/>
    <s v="http://www.promecon.com/en/power/projects/power-station-in-karlsruhe"/>
    <n v="255"/>
    <n v="0.29020854663450002"/>
    <n v="11.608341865380002"/>
    <m/>
    <s v="Share of full power plant capacity of 1020"/>
    <m/>
    <m/>
  </r>
  <r>
    <x v="7"/>
    <x v="5"/>
    <x v="0"/>
    <n v="39001737.7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7"/>
    <x v="5"/>
    <x v="0"/>
    <n v="3053355"/>
    <x v="31"/>
    <x v="36"/>
    <s v="https://ijglobal.com/data/transaction/21533/khulna-ipp-150mw"/>
    <x v="23"/>
    <x v="0"/>
    <x v="0"/>
    <x v="34"/>
    <s v="ADB RESPONSE: This was not found in ADB project database."/>
    <m/>
    <m/>
    <n v="0"/>
    <n v="0"/>
    <m/>
    <m/>
    <m/>
    <m/>
  </r>
  <r>
    <x v="7"/>
    <x v="5"/>
    <x v="0"/>
    <n v="8662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7"/>
    <x v="15"/>
    <x v="2"/>
    <n v="317900000"/>
    <x v="8"/>
    <x v="138"/>
    <s v="http://www.presseportal.de/meldung/1409491"/>
    <x v="7"/>
    <x v="0"/>
    <x v="0"/>
    <x v="123"/>
    <m/>
    <s v="http://www.engineeringnews.co.za/article/eskom-secures-250m-loan-from-germanys-kfw-ipex-bank-2008-09-10"/>
    <n v="4800"/>
    <n v="5.4627491131200001"/>
    <n v="218.50996452480001"/>
    <m/>
    <s v="IPEX press release 2008 250 Mill EUR; Profundo research US$ 342 million."/>
    <m/>
    <m/>
  </r>
  <r>
    <x v="7"/>
    <x v="14"/>
    <x v="1"/>
    <n v="350411400"/>
    <x v="8"/>
    <x v="138"/>
    <s v="http://www.presseportal.de/pm/69662/1409496/kfw-ipex-bank-finances-highly-energy-efficient-medupi-coal-fired-power-station-in-south-africa"/>
    <x v="7"/>
    <x v="0"/>
    <x v="0"/>
    <x v="123"/>
    <m/>
    <m/>
    <n v="1200"/>
    <n v="1.36568727828"/>
    <n v="54.627491131200003"/>
    <m/>
    <s v="Value assumes that Hermes provided cover for the total 81.5 euro KfW loan, since KfW or Hermes don't provide transparenty information.   This project reportedly provided financial cover for a KfW investment in the Medupi power plant also in 2008. It is possilbe that this value double-counts what KfW has provided but since neither KfW or Hermes provide transparent information we have included this value for Hermes as well as the KfW news article touts both financial support separately."/>
    <m/>
    <m/>
  </r>
  <r>
    <x v="7"/>
    <x v="5"/>
    <x v="0"/>
    <n v="1206616.6000000001"/>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7"/>
    <x v="15"/>
    <x v="2"/>
    <n v="460000000"/>
    <x v="114"/>
    <x v="139"/>
    <s v="https://www.kfw.de/KfW-Group/Newsroom/Aktuelles/Pressemitteilungen/Pressemitteilungen-Details_9553.html"/>
    <x v="49"/>
    <x v="0"/>
    <x v="0"/>
    <x v="124"/>
    <m/>
    <s v="http://www.presseportal.de/pm/69662/1281948/kfw-ipex-bank-arranges-660-mw-power-project-in-map-ta-phut-thailand"/>
    <n v="660"/>
    <n v="0.75112800305400007"/>
    <n v="30.045120122160004"/>
    <m/>
    <s v="USD 460 million and THB 9,960 million."/>
    <m/>
    <m/>
  </r>
  <r>
    <x v="7"/>
    <x v="14"/>
    <x v="1"/>
    <n v="20880666.0495"/>
    <x v="115"/>
    <x v="140"/>
    <s v="http://www.agaportal.de/en/aga/projektinformationen/projektinformation_2008.html"/>
    <x v="28"/>
    <x v="1"/>
    <x v="2"/>
    <x v="125"/>
    <m/>
    <m/>
    <m/>
    <n v="0"/>
    <n v="0"/>
    <m/>
    <s v="The German website cited lists this as a &quot;category 2&quot; project which is defined as projects receiving &quot;up to 50 million euro in cover&quot;. Conservatively we have included this as 15 million euros even though it could be up to 50 million since the lower category -- category 1 is for &quot;up to 15 million euros). We converted to USD using the rate at the end of December since no exact date has been provided."/>
    <m/>
    <m/>
  </r>
  <r>
    <x v="7"/>
    <x v="15"/>
    <x v="2"/>
    <m/>
    <x v="33"/>
    <x v="133"/>
    <s v="http://dipbt.bundestag.de/dip21/btd/17/077/1707757.pdf"/>
    <x v="1"/>
    <x v="0"/>
    <x v="0"/>
    <x v="37"/>
    <m/>
    <s v="http://www.bloomberg.com/news/2012-07-27/eon-expects-chile-power-plant-to-proceed-after-losing-injunction.html"/>
    <m/>
    <n v="0"/>
    <n v="0"/>
    <m/>
    <s v="We can speculate that this is for the Castilla Project as EON -- a german company -- is part owner of this planned project."/>
    <m/>
    <m/>
  </r>
  <r>
    <x v="7"/>
    <x v="17"/>
    <x v="2"/>
    <m/>
    <x v="33"/>
    <x v="141"/>
    <s v="https://ijglobal.com/data/transaction/29775/prime-infrastructure-portfolio-refinancing-2009"/>
    <x v="25"/>
    <x v="2"/>
    <x v="16"/>
    <x v="37"/>
    <m/>
    <m/>
    <m/>
    <n v="0"/>
    <n v="0"/>
    <m/>
    <m/>
    <m/>
    <m/>
  </r>
  <r>
    <x v="7"/>
    <x v="17"/>
    <x v="2"/>
    <m/>
    <x v="33"/>
    <x v="142"/>
    <s v="https://ijglobal.com/data/transaction/20222/eren-enerji-coal-fired-power-plant"/>
    <x v="47"/>
    <x v="0"/>
    <x v="0"/>
    <x v="37"/>
    <m/>
    <m/>
    <n v="1360"/>
    <n v="1.5477789153840003"/>
    <n v="61.911156615360014"/>
    <m/>
    <m/>
    <m/>
    <m/>
  </r>
  <r>
    <x v="7"/>
    <x v="17"/>
    <x v="2"/>
    <m/>
    <x v="33"/>
    <x v="39"/>
    <m/>
    <x v="25"/>
    <x v="2"/>
    <x v="15"/>
    <x v="37"/>
    <m/>
    <s v="http://www.irs.gov/Individuals/International-Taxpayers/Yearly-Average-Currency-Exchange-Rates"/>
    <m/>
    <n v="0"/>
    <n v="0"/>
    <m/>
    <s v="KfW response to Parliament says that in 2009 they invested 262,364,472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_x000a__x000a_Response to Parliamentary Inquiry in 2013 on total coal funding"/>
    <m/>
    <m/>
  </r>
  <r>
    <x v="7"/>
    <x v="6"/>
    <x v="0"/>
    <n v="18425663.35256977"/>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7"/>
    <x v="2"/>
    <x v="0"/>
    <n v="2786965.1535330722"/>
    <x v="3"/>
    <x v="3"/>
    <s v="http://www.shiftthesubsidies.org/projects/713"/>
    <x v="3"/>
    <x v="0"/>
    <x v="0"/>
    <x v="3"/>
    <m/>
    <m/>
    <n v="60"/>
    <n v="6.8284363914000015E-2"/>
    <n v="2.7313745565600005"/>
    <m/>
    <m/>
    <m/>
    <m/>
  </r>
  <r>
    <x v="7"/>
    <x v="2"/>
    <x v="0"/>
    <n v="947947.33113369811"/>
    <x v="4"/>
    <x v="4"/>
    <s v="http://www.shiftthesubsidies.org/projects/707"/>
    <x v="3"/>
    <x v="0"/>
    <x v="0"/>
    <x v="3"/>
    <m/>
    <m/>
    <n v="30"/>
    <n v="3.4142181957000008E-2"/>
    <n v="1.3656872782800002"/>
    <m/>
    <m/>
    <m/>
    <m/>
  </r>
  <r>
    <x v="7"/>
    <x v="0"/>
    <x v="0"/>
    <n v="401865.33125139069"/>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7"/>
    <x v="14"/>
    <x v="1"/>
    <n v="110976774.35134999"/>
    <x v="116"/>
    <x v="143"/>
    <s v="http://www.presseportal.de/pm/69662/1409496/kfw-ipex-bank-finances-highly-energy-efficient-medupi-coal-fired-power-station-in-south-africa"/>
    <x v="7"/>
    <x v="0"/>
    <x v="0"/>
    <x v="126"/>
    <s v="Value assumes that Hermes provided cover for the total 81.5 euro KfW loan, since KfW or Hermes don't provide transparenty information. This project reportedly provided financial cover for a KfW investment in the Medupi power plant. It is possilbe that this value double-counts what KfW has provided but since neither KfW or Hermes provide transparent information we have included this value for Hermes as well as the KfW news article touts both financial support separately._x000a_"/>
    <m/>
    <m/>
    <n v="0"/>
    <n v="0"/>
    <m/>
    <m/>
    <m/>
    <m/>
  </r>
  <r>
    <x v="7"/>
    <x v="17"/>
    <x v="2"/>
    <n v="193410015.10499999"/>
    <x v="117"/>
    <x v="144"/>
    <s v="https://www.kfw.de/KfW-Group/Newsroom/Aktuelles/Pressemitteilungen/Pressemitteilungen-Details_125760.html"/>
    <x v="50"/>
    <x v="4"/>
    <x v="14"/>
    <x v="127"/>
    <m/>
    <m/>
    <m/>
    <n v="0"/>
    <n v="0"/>
    <m/>
    <m/>
    <m/>
    <m/>
  </r>
  <r>
    <x v="7"/>
    <x v="15"/>
    <x v="2"/>
    <n v="126399722.92455"/>
    <x v="116"/>
    <x v="138"/>
    <s v="http://www.presseportal.de/pm/69662/1409496/kfw-ipex-bank-finances-highly-energy-efficient-medupi-coal-fired-power-station-in-south-africa"/>
    <x v="7"/>
    <x v="0"/>
    <x v="0"/>
    <x v="128"/>
    <m/>
    <m/>
    <m/>
    <n v="0"/>
    <n v="0"/>
    <m/>
    <m/>
    <m/>
    <m/>
  </r>
  <r>
    <x v="7"/>
    <x v="12"/>
    <x v="0"/>
    <n v="18466471.640521713"/>
    <x v="103"/>
    <x v="120"/>
    <s v="http://www.eib.org/projects/pipeline/2005/20050177.htm"/>
    <x v="45"/>
    <x v="4"/>
    <x v="14"/>
    <x v="29"/>
    <m/>
    <m/>
    <n v="400"/>
    <n v="0.45522909276000001"/>
    <n v="18.209163710399999"/>
    <m/>
    <s v="Share of full power plant capacity of 1600"/>
    <m/>
    <m/>
  </r>
  <r>
    <x v="7"/>
    <x v="0"/>
    <x v="0"/>
    <n v="2335842.2378987083"/>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7"/>
    <x v="5"/>
    <x v="0"/>
    <n v="39102433.5"/>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7"/>
    <x v="14"/>
    <x v="1"/>
    <n v="148381397.09999999"/>
    <x v="118"/>
    <x v="145"/>
    <s v="http://www.agaportal.de/en/aga/projektinformationen/projektinformation_2009.html"/>
    <x v="51"/>
    <x v="1"/>
    <x v="2"/>
    <x v="129"/>
    <s v="The German website cited lists this as a &quot;category 4&quot; project which is defined as projects receiving &quot;up to 200 million euro in cover&quot;. Conservatively we have included this as 100 million euros even though it could be up to 200 million since the lower category -- category 3 is for &quot;up to 100 million euros&quot;). We converted to USD using the rate at the end of September since no exact date has been provided."/>
    <m/>
    <m/>
    <n v="0"/>
    <n v="0"/>
    <m/>
    <m/>
    <m/>
    <m/>
  </r>
  <r>
    <x v="7"/>
    <x v="0"/>
    <x v="0"/>
    <n v="13814120.761766555"/>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7"/>
    <x v="3"/>
    <x v="0"/>
    <n v="5389674.9719612934"/>
    <x v="7"/>
    <x v="7"/>
    <s v="http://www.afdb.org/en/news-and-events/article/afdb-approves-eur-153-million-for-botswana-power-project-5255/"/>
    <x v="6"/>
    <x v="0"/>
    <x v="0"/>
    <x v="6"/>
    <m/>
    <m/>
    <n v="20"/>
    <n v="2.2761454637999997E-2"/>
    <n v="0.91045818551999991"/>
    <m/>
    <s v="Share of full power plant capacity of 600MW"/>
    <m/>
    <m/>
  </r>
  <r>
    <x v="7"/>
    <x v="3"/>
    <x v="0"/>
    <n v="108901918.30563249"/>
    <x v="8"/>
    <x v="8"/>
    <s v="http://www.afdb.org/en/projects-and-operations/project-portfolio/project/p-za-faa-001/"/>
    <x v="7"/>
    <x v="0"/>
    <x v="0"/>
    <x v="7"/>
    <m/>
    <m/>
    <n v="160"/>
    <n v="0.18209163710399998"/>
    <n v="7.2836654841599993"/>
    <m/>
    <s v="Share of full power plant capacity of 4800, split with WBG"/>
    <m/>
    <m/>
  </r>
  <r>
    <x v="7"/>
    <x v="3"/>
    <x v="0"/>
    <n v="3413082.7071034596"/>
    <x v="9"/>
    <x v="9"/>
    <s v="http://www.afdb.org/en/news-and-events/article/senior-loan-of-up-to-euro-55-million-to-sendou-power-project-in-senegal-5513/"/>
    <x v="8"/>
    <x v="0"/>
    <x v="0"/>
    <x v="7"/>
    <m/>
    <m/>
    <n v="8.3333333333333339"/>
    <n v="9.4839394324999996E-3"/>
    <n v="0.37935757729999997"/>
    <m/>
    <s v="Share of full power plant capacity of 125"/>
    <m/>
    <s v="Yes"/>
  </r>
  <r>
    <x v="7"/>
    <x v="17"/>
    <x v="2"/>
    <n v="32982122.437199999"/>
    <x v="116"/>
    <x v="146"/>
    <s v="http://www.hitachi-power.com/de/pressearchiv-2009.html?jahr=2009&amp;print=true&amp;jahr=2009"/>
    <x v="26"/>
    <x v="0"/>
    <x v="0"/>
    <x v="130"/>
    <s v="The Hitachi press statement states that the project is 36 million euros , financed in large part by the KfW Development Bank. Since KfW doesn't disclose all projects, we have assumed the total amount of this stated project towards KfW."/>
    <m/>
    <m/>
    <n v="0"/>
    <n v="0"/>
    <m/>
    <m/>
    <m/>
    <m/>
  </r>
  <r>
    <x v="7"/>
    <x v="14"/>
    <x v="1"/>
    <n v="1023060767.3429999"/>
    <x v="116"/>
    <x v="147"/>
    <s v="http://www.docstoc.com/docs/52559316/The-African-Development-Bank-and-ESKOM-Holdings-Ltd-sign"/>
    <x v="7"/>
    <x v="0"/>
    <x v="0"/>
    <x v="52"/>
    <m/>
    <s v="http://bv.com/Projects/eskom-kusile-power-station-witbank-southafrica"/>
    <n v="1600"/>
    <n v="1.82091637104"/>
    <n v="72.836654841599994"/>
    <m/>
    <s v="4800 MW plant. 3 banks: COFACE, Hermes, and Ex-Im. The MW is divided between the three banks. The spending by COFACE was made up of two payments. The third of the MW was divided by two for each of COFACE's payments"/>
    <m/>
    <m/>
  </r>
  <r>
    <x v="7"/>
    <x v="5"/>
    <x v="0"/>
    <n v="194895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7"/>
    <x v="5"/>
    <x v="0"/>
    <m/>
    <x v="36"/>
    <x v="42"/>
    <s v="http://www.adb.org/sites/default/files/projdocs/2008/41958-PHI-RRP.pdf_x000a_http://www.adb.org/sites/default/files/projdocs/2008/41958-PHI-RRP.pdf"/>
    <x v="5"/>
    <x v="0"/>
    <x v="1"/>
    <x v="40"/>
    <n v="5197200"/>
    <m/>
    <m/>
    <n v="0"/>
    <n v="0"/>
    <m/>
    <s v="ADB Project 41958-014: Source of Funding - ADB Ordinary Capital Resources. ADB does not include in its list.; Power Plant emission are divided evenly among the G20 countries that provided funding to the projects. "/>
    <s v="CANCELLED"/>
    <m/>
  </r>
  <r>
    <x v="7"/>
    <x v="17"/>
    <x v="2"/>
    <n v="200756787.26114649"/>
    <x v="33"/>
    <x v="39"/>
    <m/>
    <x v="25"/>
    <x v="2"/>
    <x v="15"/>
    <x v="41"/>
    <s v="KfW response to Parliament says that in 2010 they invested 157,594,078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_x000a__x000a_Response to Parliamentary Inquiry in 2013 on total coal funding"/>
    <s v="http://www.irs.gov/Individuals/International-Taxpayers/Yearly-Average-Currency-Exchange-Rates"/>
    <m/>
    <n v="0"/>
    <n v="0"/>
    <m/>
    <m/>
    <m/>
    <m/>
  </r>
  <r>
    <x v="7"/>
    <x v="15"/>
    <x v="2"/>
    <m/>
    <x v="119"/>
    <x v="148"/>
    <s v="https://www.kfw-ipex-bank.de/International-financing/KfW-IPEX-Bank/About-KfW-IPEX-Bank/Locations/Singapur/"/>
    <x v="33"/>
    <x v="1"/>
    <x v="2"/>
    <x v="41"/>
    <s v="Siemens reportedly received a AUD $10 million contract for this terminal. Since KfW doesn't publish data regularly we have assumed the entire Siemens award has been guaranteed by KfW so the total value reflects that amount"/>
    <s v="http://www.longwalls.com/storyview.asp?storyid=1002411_x000a_http://www.longwalls.com/storyview.asp?storyid=1002411_x000a_http://www.siemens.com.au/files/SiteCollectionDocuments/aunz_business_overview.pdf_x000a_http://www.longwalls.com/storyview.asp?storyid=1002411"/>
    <m/>
    <n v="0"/>
    <n v="0"/>
    <m/>
    <m/>
    <m/>
    <m/>
  </r>
  <r>
    <x v="7"/>
    <x v="15"/>
    <x v="2"/>
    <m/>
    <x v="33"/>
    <x v="133"/>
    <m/>
    <x v="43"/>
    <x v="0"/>
    <x v="0"/>
    <x v="41"/>
    <m/>
    <s v="http://dipbt.bundestag.de/dip21/btd/17/077/1707757.pdf"/>
    <m/>
    <n v="0"/>
    <n v="0"/>
    <m/>
    <m/>
    <m/>
    <m/>
  </r>
  <r>
    <x v="7"/>
    <x v="17"/>
    <x v="2"/>
    <m/>
    <x v="33"/>
    <x v="149"/>
    <m/>
    <x v="43"/>
    <x v="0"/>
    <x v="1"/>
    <x v="41"/>
    <s v="The project is a 911MW expansion of the Grosskraftwerk Mannheim, or GKM, which will raise the capacity of the plant - located on the Rhine in Mannheim - to 2,586MW."/>
    <s v="https://ijglobal.com/data/transaction/20675/mannheim-block-9-chp-coal-fired-expansion"/>
    <n v="911"/>
    <n v="1.0367842587609"/>
    <n v="41.471370350435997"/>
    <m/>
    <m/>
    <m/>
    <m/>
  </r>
  <r>
    <x v="7"/>
    <x v="17"/>
    <x v="2"/>
    <m/>
    <x v="120"/>
    <x v="150"/>
    <s v="https://ijglobal.com/data/transaction/29382/mahistriky-carbon-and-coal-tar-processing-plant"/>
    <x v="4"/>
    <x v="2"/>
    <x v="17"/>
    <x v="41"/>
    <m/>
    <m/>
    <m/>
    <n v="0"/>
    <n v="0"/>
    <m/>
    <m/>
    <m/>
    <m/>
  </r>
  <r>
    <x v="7"/>
    <x v="6"/>
    <x v="0"/>
    <n v="2690146.8494751859"/>
    <x v="38"/>
    <x v="44"/>
    <s v="http://www.ebrd.com/work-with-us/projects/psd/mak.html"/>
    <x v="9"/>
    <x v="1"/>
    <x v="2"/>
    <x v="42"/>
    <s v="Expansion of Eldev coal mine. Mongolyn Alt Corporation (‘MAK’ or the ‘Company’), a medium-sized Mongolian mining company producing coal"/>
    <m/>
    <m/>
    <n v="0"/>
    <n v="0"/>
    <m/>
    <s v="Yes"/>
    <m/>
    <m/>
  </r>
  <r>
    <x v="7"/>
    <x v="14"/>
    <x v="1"/>
    <n v="757438526.63520002"/>
    <x v="121"/>
    <x v="151"/>
    <s v="http://www.agaportal.de/en/aga/projektinformationen/projektinformation_2010.html"/>
    <x v="26"/>
    <x v="0"/>
    <x v="1"/>
    <x v="131"/>
    <s v="The German website cited lists this as a &quot;category 2&quot; project which is defined as projects receiving &quot;up to 50 million euro in cover&quot;. Conservatively we have included this as 15 million euros even though it could be up to 50 million since the lower category -- category 1 is for &quot;up to 15 million euros). We converted to USD using the rate at the end of February since no exact date has been provided."/>
    <m/>
    <m/>
    <n v="0"/>
    <n v="0"/>
    <m/>
    <m/>
    <m/>
    <m/>
  </r>
  <r>
    <x v="7"/>
    <x v="12"/>
    <x v="0"/>
    <n v="13723740.742281655"/>
    <x v="105"/>
    <x v="122"/>
    <s v="http://www.eib.org/projects/loans/2008/20080679.htm"/>
    <x v="30"/>
    <x v="0"/>
    <x v="0"/>
    <x v="111"/>
    <m/>
    <s v="http://www.banktrack.org/manage/ajax/ems_dodgydeals/createPDF/ostroleka_c_coal_and_biomass_power_plant"/>
    <n v="50.25"/>
    <n v="5.7188154777975002E-2"/>
    <n v="2.2875261911189999"/>
    <m/>
    <s v="Share of full power plant capacity of 201"/>
    <m/>
    <m/>
  </r>
  <r>
    <x v="7"/>
    <x v="1"/>
    <x v="0"/>
    <n v="616107.24364239164"/>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7"/>
    <x v="12"/>
    <x v="0"/>
    <n v="14325511.997638566"/>
    <x v="106"/>
    <x v="123"/>
    <s v="http://www.eib.org/projects/pipeline/2010/20100270.htm"/>
    <x v="30"/>
    <x v="0"/>
    <x v="0"/>
    <x v="112"/>
    <m/>
    <m/>
    <n v="39"/>
    <n v="4.4384836544100005E-2"/>
    <n v="1.7753934617640001"/>
    <m/>
    <s v="Share of full power plant capacity of 156"/>
    <m/>
    <m/>
  </r>
  <r>
    <x v="7"/>
    <x v="6"/>
    <x v="0"/>
    <n v="7311834.7986874059"/>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7"/>
    <x v="14"/>
    <x v="1"/>
    <n v="19559822.048999999"/>
    <x v="122"/>
    <x v="152"/>
    <s v="http://www.exim.gov/newsandevents/releases/2013/ExIm-Approves-500-million-to-Finance-US-Exports-for-Use-in-Mongolian-Mine.cfm"/>
    <x v="28"/>
    <x v="1"/>
    <x v="2"/>
    <x v="132"/>
    <s v="The German website cited lists this as a &quot;category 2&quot; project which is defined as projects receiving &quot;up to 50 million euro in cover&quot;. Conservatively we have included this as 15 million euros even though it could be up to 50 million since the lower category -- category 1 is for &quot;up to 15 million euros). We converted to USD using the rate at the end of November since no exact date has been provided."/>
    <m/>
    <m/>
    <n v="0"/>
    <n v="0"/>
    <m/>
    <m/>
    <m/>
    <m/>
  </r>
  <r>
    <x v="7"/>
    <x v="15"/>
    <x v="2"/>
    <m/>
    <x v="33"/>
    <x v="153"/>
    <s v="https://www.kfw-ipex-bank.de/Internationale-Finanzierung/KfW-IPEX-Bank/Unternehmen/Auszeichnungen/Deals-of-the-Year-2011/"/>
    <x v="33"/>
    <x v="1"/>
    <x v="2"/>
    <x v="45"/>
    <s v="According to a report from Wiggins Island Coal Export Terminal Pty Limited: &quot;In the financing, US$780million (26% of total senior debt) and US$50million (10% of the subordinated debt) was provided by (or in EFIC’s case supported by) sovereign export credit agencies or government supported financiers from Korea, Germany, China, Canada and Australia"/>
    <s v="https://www.kfw-ipex-bank.de/Internationale-Finanzierung/KfW-IPEX-Bank/Unternehmen/Auszeichnungen/Deals-of-the-Year-2011/_x000a_http://www.efic.gov.au/about/Documents/WICET-supports-EFIC.pdf?utm_source=seo&amp;utm_medium=PC-support-letters&amp;utm_campaign=seo-efic-PC-support-letters-WICET-lk-120319"/>
    <m/>
    <n v="0"/>
    <n v="0"/>
    <m/>
    <m/>
    <m/>
    <m/>
  </r>
  <r>
    <x v="7"/>
    <x v="6"/>
    <x v="0"/>
    <m/>
    <x v="42"/>
    <x v="48"/>
    <s v="http://www.ebrd.com/work-with-us/projects/psd/oltenia---turceni-rehabilitation.html"/>
    <x v="29"/>
    <x v="0"/>
    <x v="1"/>
    <x v="37"/>
    <m/>
    <m/>
    <m/>
    <n v="0"/>
    <n v="0"/>
    <m/>
    <s v="Financing for the rehabilitation and modernisation of unit 6 of CET Oltenia’s Turceni lignite fired power plant"/>
    <s v="CANCELLED"/>
    <m/>
  </r>
  <r>
    <x v="7"/>
    <x v="14"/>
    <x v="1"/>
    <n v="68560472.829999998"/>
    <x v="122"/>
    <x v="154"/>
    <s v="http://www.agaportal.de/en/aga/projektinformationen/projektinformation_2011.html"/>
    <x v="33"/>
    <x v="1"/>
    <x v="2"/>
    <x v="45"/>
    <s v="The German website cited lists this as a &quot;category 3&quot; project which is defined as projects receiving &quot;up to 100 million euro in cover&quot;. Conservatively we have included this as 50 million euros even though it could be up to 100 million since the lower category -- category 2 is for &quot;up to 50 million euros).. We converted to USD using the rate at the end of January since no exact date has been provided."/>
    <m/>
    <m/>
    <n v="0"/>
    <n v="0"/>
    <m/>
    <m/>
    <m/>
    <m/>
  </r>
  <r>
    <x v="7"/>
    <x v="6"/>
    <x v="0"/>
    <n v="4974929.1051938375"/>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7"/>
    <x v="6"/>
    <x v="0"/>
    <n v="3163317.8843691777"/>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7"/>
    <x v="0"/>
    <x v="0"/>
    <n v="22604924.882890727"/>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7"/>
    <x v="5"/>
    <x v="0"/>
    <n v="8662"/>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7"/>
    <x v="14"/>
    <x v="1"/>
    <n v="20908530.4005"/>
    <x v="69"/>
    <x v="79"/>
    <s v="http://www.agaportal.de/en/aga/nachhaltigkeit/umwelt/projekt/projektinformation_2011.html"/>
    <x v="24"/>
    <x v="0"/>
    <x v="0"/>
    <x v="133"/>
    <s v="2014 (Vũng Áng-1 Unit 1); 2015 (Vũng Áng-1 Unit 2); http://www.sourcewatch.org/index.php/Vung_Ang_power_station  The German website cited lists this as a &quot;category 2&quot; project which is defined as projects receiving &quot;up to 50 million euro in cover&quot;. Conservatively we have included this as 15 million euros even though it could be up to 50 million since the lower category -- category 1 is for &quot;up to 15 million euros). We converted to USD using the rate at the end of October since no exact date has been provided."/>
    <s v="http://en.vietnamplus.vn/Home/PetroVietnam-secures-credit-for-Vung-Ang-plant/20114/17760.vnplus"/>
    <n v="600"/>
    <n v="0.68284363914000001"/>
    <n v="27.313745565600001"/>
    <m/>
    <s v="1200 MW plant. Shared between Hermes and JBIC"/>
    <m/>
    <m/>
  </r>
  <r>
    <x v="7"/>
    <x v="12"/>
    <x v="0"/>
    <n v="92899168.101598889"/>
    <x v="107"/>
    <x v="124"/>
    <s v="http://www.eib.org/attachments/pipeline/20060319_nts_en.pdf"/>
    <x v="31"/>
    <x v="0"/>
    <x v="0"/>
    <x v="113"/>
    <s v="Emissions counted from 2003 loan"/>
    <m/>
    <m/>
    <n v="0"/>
    <n v="0"/>
    <m/>
    <m/>
    <m/>
    <m/>
  </r>
  <r>
    <x v="7"/>
    <x v="12"/>
    <x v="0"/>
    <n v="25070873.909512851"/>
    <x v="108"/>
    <x v="125"/>
    <s v="http://www.eib.org/projects/pipeline/2006/20060319.htm"/>
    <x v="31"/>
    <x v="0"/>
    <x v="0"/>
    <x v="114"/>
    <m/>
    <s v="http://www.eib.org/infocentre/press/news/topical_briefs/2013-march-01/tes-thermal-power-plant-sostanj-project-slovenia.htm_x000a_http://www.eib.org/infocentre/press/releases/all/2007/2007-093-eib-supports-environmental-improvement-in-slovenia.htm"/>
    <n v="180"/>
    <n v="0.204853091742"/>
    <n v="8.1941236696799997"/>
    <m/>
    <s v="Share of full power plant capacity of 720"/>
    <m/>
    <m/>
  </r>
  <r>
    <x v="7"/>
    <x v="14"/>
    <x v="1"/>
    <n v="176200000"/>
    <x v="33"/>
    <x v="155"/>
    <m/>
    <x v="50"/>
    <x v="0"/>
    <x v="1"/>
    <x v="49"/>
    <s v="OECD data on export credit support for fossil fuel power plants and fossil fuel extraction projects, 9 October 2014"/>
    <s v="https://www.iec.co.il/Suppliers/Lists/IecTendersEn/Attachments/111/RFI%20document%20-%20OR14-0002.pdf"/>
    <n v="1400"/>
    <n v="1.5933018246599999"/>
    <n v="63.732072986399999"/>
    <m/>
    <m/>
    <m/>
    <m/>
  </r>
  <r>
    <x v="7"/>
    <x v="14"/>
    <x v="1"/>
    <n v="87900000"/>
    <x v="33"/>
    <x v="156"/>
    <m/>
    <x v="4"/>
    <x v="0"/>
    <x v="0"/>
    <x v="49"/>
    <s v="OECD data on export credit support for fossil fuel power plants and fossil fuel extraction projects, 9 October 2014"/>
    <s v="http://www.power-technology.com/projects/barh-coal/"/>
    <n v="1320"/>
    <n v="1.5022560061080001"/>
    <n v="60.090240244320007"/>
    <m/>
    <m/>
    <m/>
    <m/>
  </r>
  <r>
    <x v="7"/>
    <x v="6"/>
    <x v="0"/>
    <n v="11884552.8624075"/>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7"/>
    <x v="17"/>
    <x v="2"/>
    <n v="44619711.375319749"/>
    <x v="33"/>
    <x v="39"/>
    <m/>
    <x v="25"/>
    <x v="2"/>
    <x v="15"/>
    <x v="49"/>
    <s v="KfW response to Parliament says that in 2012 they invested 174,809,955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average currency conversion."/>
    <s v="http://www.irs.gov/Individuals/International-Taxpayers/Yearly-Average-Currency-Exchange-Rates"/>
    <m/>
    <n v="0"/>
    <n v="0"/>
    <m/>
    <m/>
    <m/>
    <m/>
  </r>
  <r>
    <x v="7"/>
    <x v="17"/>
    <x v="2"/>
    <n v="95669604.331500009"/>
    <x v="123"/>
    <x v="157"/>
    <s v="http://in.finance.yahoo.com/news/indias-ntpc-raise-72-5-140720866.html"/>
    <x v="4"/>
    <x v="0"/>
    <x v="0"/>
    <x v="134"/>
    <s v="Response to Parlamentarien Question, 2012"/>
    <m/>
    <m/>
    <n v="0"/>
    <n v="0"/>
    <m/>
    <m/>
    <m/>
    <m/>
  </r>
  <r>
    <x v="7"/>
    <x v="14"/>
    <x v="1"/>
    <n v="19443730.185000002"/>
    <x v="124"/>
    <x v="158"/>
    <s v="http://www.exim.gov/customcf/congressionalmap/district_map.cfm?state=PA&amp;district=12"/>
    <x v="51"/>
    <x v="2"/>
    <x v="4"/>
    <x v="135"/>
    <s v="The German website cited lists this as a &quot;category 2&quot; project which is defined as projects receiving &quot;up to 50 million euro in cover&quot;. Conservatively we have included this as 15 million euros even though it could be up to 50 million since the lower category -- category 1 is for &quot;up to 15 million euros). We converted to USD using the rate at the end of October since no exact date has been provided."/>
    <m/>
    <m/>
    <n v="0"/>
    <n v="0"/>
    <m/>
    <m/>
    <m/>
    <m/>
  </r>
  <r>
    <x v="7"/>
    <x v="17"/>
    <x v="2"/>
    <n v="75792210.869200006"/>
    <x v="125"/>
    <x v="159"/>
    <s v="http://www.eps.rs/Eng/Article.aspx?lista=Novosti&amp;id=20"/>
    <x v="26"/>
    <x v="2"/>
    <x v="4"/>
    <x v="136"/>
    <s v="65 million europ loan plus a reported 9 million euro grant."/>
    <s v="http://www.ebrd.com/work-with-us/projects/psd/eps-kolubara-environmental-improvement.html"/>
    <m/>
    <n v="0"/>
    <n v="0"/>
    <m/>
    <m/>
    <m/>
    <m/>
  </r>
  <r>
    <x v="7"/>
    <x v="14"/>
    <x v="1"/>
    <n v="895410885.80576301"/>
    <x v="33"/>
    <x v="160"/>
    <m/>
    <x v="45"/>
    <x v="2"/>
    <x v="4"/>
    <x v="50"/>
    <s v="Parliamentary Inquiry. 839 million euros."/>
    <m/>
    <m/>
    <n v="0"/>
    <n v="0"/>
    <m/>
    <m/>
    <m/>
    <m/>
  </r>
  <r>
    <x v="7"/>
    <x v="14"/>
    <x v="1"/>
    <n v="219667943.80587482"/>
    <x v="33"/>
    <x v="161"/>
    <m/>
    <x v="50"/>
    <x v="2"/>
    <x v="4"/>
    <x v="50"/>
    <s v="172 million euros "/>
    <m/>
    <m/>
    <n v="0"/>
    <n v="0"/>
    <m/>
    <m/>
    <m/>
    <m/>
  </r>
  <r>
    <x v="7"/>
    <x v="14"/>
    <x v="1"/>
    <n v="81736909.323116213"/>
    <x v="33"/>
    <x v="162"/>
    <m/>
    <x v="4"/>
    <x v="2"/>
    <x v="4"/>
    <x v="50"/>
    <s v="Parliamentary Inquiry. 64 million euros"/>
    <m/>
    <m/>
    <n v="0"/>
    <n v="0"/>
    <m/>
    <m/>
    <m/>
    <m/>
  </r>
  <r>
    <x v="7"/>
    <x v="14"/>
    <x v="1"/>
    <n v="71519795.65772669"/>
    <x v="33"/>
    <x v="163"/>
    <m/>
    <x v="22"/>
    <x v="2"/>
    <x v="4"/>
    <x v="50"/>
    <s v="Parliamentary Inquiry. 56m euros"/>
    <m/>
    <m/>
    <n v="0"/>
    <n v="0"/>
    <m/>
    <m/>
    <m/>
    <m/>
  </r>
  <r>
    <x v="7"/>
    <x v="14"/>
    <x v="1"/>
    <n v="38314176.24521073"/>
    <x v="33"/>
    <x v="164"/>
    <m/>
    <x v="22"/>
    <x v="2"/>
    <x v="4"/>
    <x v="50"/>
    <s v="Parliamentary Inquiry. 30 million euros"/>
    <m/>
    <m/>
    <n v="0"/>
    <n v="0"/>
    <m/>
    <m/>
    <m/>
    <m/>
  </r>
  <r>
    <x v="7"/>
    <x v="14"/>
    <x v="1"/>
    <n v="38314176.24521073"/>
    <x v="33"/>
    <x v="165"/>
    <m/>
    <x v="28"/>
    <x v="2"/>
    <x v="4"/>
    <x v="50"/>
    <s v="Parliamentary Inquiry. 30m euros"/>
    <m/>
    <m/>
    <n v="0"/>
    <n v="0"/>
    <m/>
    <m/>
    <m/>
    <m/>
  </r>
  <r>
    <x v="7"/>
    <x v="17"/>
    <x v="2"/>
    <n v="31222945.817485899"/>
    <x v="33"/>
    <x v="39"/>
    <m/>
    <x v="25"/>
    <x v="2"/>
    <x v="4"/>
    <x v="50"/>
    <s v="KfW response to Parliament says that through Oct. 31, 2013 they invested 185,023940 euros in coal projects. Since KfW didn't break out the data per project we have classifed it as unspecified. The value assigned to this unspecified is the difference between the data KfW reported to Parliament and the amount that we were able to document using public data. This value--the difference-- was converted to USD using the currency rate as of Oct. 31, 2013. As of October 31, 2013."/>
    <m/>
    <m/>
    <n v="0"/>
    <n v="0"/>
    <m/>
    <m/>
    <m/>
    <m/>
  </r>
  <r>
    <x v="7"/>
    <x v="14"/>
    <x v="1"/>
    <n v="2554278.4163473817"/>
    <x v="33"/>
    <x v="166"/>
    <m/>
    <x v="28"/>
    <x v="2"/>
    <x v="4"/>
    <x v="50"/>
    <s v="Parliamentary Inquiry. 2m euros"/>
    <m/>
    <m/>
    <n v="0"/>
    <n v="0"/>
    <m/>
    <m/>
    <m/>
    <m/>
  </r>
  <r>
    <x v="7"/>
    <x v="14"/>
    <x v="1"/>
    <n v="383141.76245210727"/>
    <x v="33"/>
    <x v="167"/>
    <m/>
    <x v="45"/>
    <x v="2"/>
    <x v="4"/>
    <x v="50"/>
    <s v="Parliamentary Inquiry. 0.3 million euros"/>
    <m/>
    <m/>
    <n v="0"/>
    <n v="0"/>
    <m/>
    <m/>
    <m/>
    <m/>
  </r>
  <r>
    <x v="7"/>
    <x v="14"/>
    <x v="1"/>
    <n v="64112499.999999993"/>
    <x v="126"/>
    <x v="168"/>
    <s v="http://www.agaportal.de/en/aga/projektinformationen/liste.html"/>
    <x v="22"/>
    <x v="2"/>
    <x v="4"/>
    <x v="137"/>
    <s v="The German website cited lists this as a &quot;category 3&quot; project which is defined as projects receiving &quot;up to 100 million euro in cover&quot;. Conservatively we have included this as 50 million euros even though it could be up to 100 million since the lower category -- category 2 is for &quot;up to 50 million euros). We converted to USD using the rate at the end of March since no exact date has been provided. "/>
    <m/>
    <m/>
    <n v="0"/>
    <n v="0"/>
    <m/>
    <m/>
    <m/>
    <m/>
  </r>
  <r>
    <x v="7"/>
    <x v="1"/>
    <x v="0"/>
    <n v="1150066.8547991312"/>
    <x v="62"/>
    <x v="68"/>
    <s v="http://www.worldbank.org/projects/P122800/ci-egrg-econ-gov-recovery-4?lang=en&amp;tab=overview"/>
    <x v="34"/>
    <x v="2"/>
    <x v="4"/>
    <x v="66"/>
    <s v="Total Financing - $150 mil loan. As stated on the World Bank website under 'Details' - 'Sectors': Coal Mining - 7%. Amount included is $150 mil * .07 =$21,00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No link to coal. Wrong sector coding. There is no coal or coal mining in Cote D’Ivoire. "/>
    <s v="http://www.worldbank.org/projects/P122800/ci-egrg-econ-gov-recovery-4?lang=en&amp;tab=overview"/>
    <m/>
    <n v="0"/>
    <n v="0"/>
    <m/>
    <s v="WBG"/>
    <s v="Status: Closed"/>
    <m/>
  </r>
  <r>
    <x v="7"/>
    <x v="17"/>
    <x v="2"/>
    <n v="96705007.552499995"/>
    <x v="127"/>
    <x v="169"/>
    <m/>
    <x v="50"/>
    <x v="0"/>
    <x v="1"/>
    <x v="138"/>
    <m/>
    <s v="https://www.kfw-ipex-bank.de/International-financing/KfW-IPEX-Bank/Presse/Pressemitteilungen/Pressemitteilungsdetails_125760.html"/>
    <m/>
    <n v="0"/>
    <n v="0"/>
    <m/>
    <m/>
    <m/>
    <m/>
  </r>
  <r>
    <x v="7"/>
    <x v="15"/>
    <x v="2"/>
    <n v="123596454.02249999"/>
    <x v="123"/>
    <x v="170"/>
    <s v="http://www.thehindu.com/business/Industry/ntpc-ties-up-95-m-euro-loan-facility-with-kfw/article4860075.ece"/>
    <x v="4"/>
    <x v="4"/>
    <x v="14"/>
    <x v="139"/>
    <m/>
    <m/>
    <m/>
    <n v="0"/>
    <n v="0"/>
    <m/>
    <m/>
    <m/>
    <m/>
  </r>
  <r>
    <x v="7"/>
    <x v="14"/>
    <x v="1"/>
    <n v="705914063.51189995"/>
    <x v="128"/>
    <x v="171"/>
    <s v="http://www.agaportal.de/en/aga/projektinformationen/liste.html"/>
    <x v="28"/>
    <x v="1"/>
    <x v="2"/>
    <x v="140"/>
    <m/>
    <m/>
    <m/>
    <n v="0"/>
    <n v="0"/>
    <m/>
    <m/>
    <m/>
    <m/>
  </r>
  <r>
    <x v="7"/>
    <x v="17"/>
    <x v="2"/>
    <n v="75695673.960500002"/>
    <x v="123"/>
    <x v="172"/>
    <s v="http://www.thehindu.com/business/Industry/ntpc-ties-up-55-m-euro-loan-with-kfw/article5474669.ece"/>
    <x v="4"/>
    <x v="0"/>
    <x v="0"/>
    <x v="141"/>
    <m/>
    <m/>
    <n v="1000"/>
    <n v="1.1380727319000001"/>
    <n v="45.522909276000007"/>
    <m/>
    <m/>
    <m/>
    <m/>
  </r>
  <r>
    <x v="7"/>
    <x v="0"/>
    <x v="0"/>
    <n v="904196.99531562906"/>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7"/>
    <x v="14"/>
    <x v="1"/>
    <n v="40816326.530612245"/>
    <x v="33"/>
    <x v="173"/>
    <m/>
    <x v="4"/>
    <x v="1"/>
    <x v="2"/>
    <x v="51"/>
    <s v="Parliamentary Inquiry. 32m euros"/>
    <m/>
    <m/>
    <n v="0"/>
    <n v="0"/>
    <m/>
    <m/>
    <m/>
    <m/>
  </r>
  <r>
    <x v="7"/>
    <x v="14"/>
    <x v="1"/>
    <n v="35714285.714285716"/>
    <x v="33"/>
    <x v="174"/>
    <m/>
    <x v="48"/>
    <x v="0"/>
    <x v="18"/>
    <x v="51"/>
    <s v="Parliamentary Inquiry. 28 million euros"/>
    <m/>
    <m/>
    <n v="0"/>
    <n v="0"/>
    <m/>
    <m/>
    <m/>
    <m/>
  </r>
  <r>
    <x v="7"/>
    <x v="17"/>
    <x v="2"/>
    <n v="53160000"/>
    <x v="33"/>
    <x v="175"/>
    <m/>
    <x v="11"/>
    <x v="2"/>
    <x v="19"/>
    <x v="51"/>
    <s v="avg exchange rate for 2014 1.329_x000a_German Federal Ministry for Economic Affairs and Energy, (2015)"/>
    <m/>
    <m/>
    <n v="0"/>
    <n v="0"/>
    <m/>
    <m/>
    <m/>
    <m/>
  </r>
  <r>
    <x v="7"/>
    <x v="17"/>
    <x v="2"/>
    <n v="48375600"/>
    <x v="33"/>
    <x v="176"/>
    <m/>
    <x v="11"/>
    <x v="2"/>
    <x v="19"/>
    <x v="51"/>
    <s v="avg exchange rate for 2014 1.329_x000a_German Federal Ministry for Economic Affairs and Energy, (2015)"/>
    <m/>
    <m/>
    <n v="0"/>
    <n v="0"/>
    <m/>
    <m/>
    <m/>
    <m/>
  </r>
  <r>
    <x v="7"/>
    <x v="17"/>
    <x v="2"/>
    <n v="2392200"/>
    <x v="33"/>
    <x v="177"/>
    <m/>
    <x v="14"/>
    <x v="2"/>
    <x v="19"/>
    <x v="51"/>
    <s v="avg exchange rate for 2014 1.329_x000a_German Federal Ministry for Economic Affairs and Energy, (2015)"/>
    <m/>
    <m/>
    <n v="0"/>
    <n v="0"/>
    <m/>
    <m/>
    <m/>
    <m/>
  </r>
  <r>
    <x v="7"/>
    <x v="14"/>
    <x v="1"/>
    <n v="5102040.8163265307"/>
    <x v="33"/>
    <x v="178"/>
    <m/>
    <x v="52"/>
    <x v="1"/>
    <x v="2"/>
    <x v="51"/>
    <s v="Parliamentary Inquiry. 4m euros"/>
    <m/>
    <m/>
    <n v="0"/>
    <n v="0"/>
    <m/>
    <m/>
    <m/>
    <m/>
  </r>
  <r>
    <x v="7"/>
    <x v="14"/>
    <x v="1"/>
    <n v="2551020.4081632653"/>
    <x v="33"/>
    <x v="179"/>
    <m/>
    <x v="28"/>
    <x v="1"/>
    <x v="2"/>
    <x v="51"/>
    <s v="Parliamentary Inquiry. 2m euros"/>
    <m/>
    <m/>
    <n v="0"/>
    <n v="0"/>
    <m/>
    <m/>
    <m/>
    <m/>
  </r>
  <r>
    <x v="7"/>
    <x v="14"/>
    <x v="1"/>
    <n v="382653.06122448976"/>
    <x v="33"/>
    <x v="180"/>
    <m/>
    <x v="45"/>
    <x v="0"/>
    <x v="18"/>
    <x v="51"/>
    <s v="Parliamentary Inquiry. 0.3 million euros"/>
    <m/>
    <m/>
    <n v="0"/>
    <n v="0"/>
    <m/>
    <m/>
    <m/>
    <m/>
  </r>
  <r>
    <x v="7"/>
    <x v="14"/>
    <x v="1"/>
    <n v="20231720.640000001"/>
    <x v="129"/>
    <x v="181"/>
    <s v="http://www.jbic.go.jp/en/information/press/press-2013/0127-17508"/>
    <x v="4"/>
    <x v="2"/>
    <x v="17"/>
    <x v="142"/>
    <s v="The AGA website lists this as a &quot;category 2&quot; project which is defined as projects receiving &quot;up to 50 million euro in cover&quot;. Conservatively we have included this as 15 million euros even though it could be up to 50 million since the lower category -- category 1 is for &quot;up to 15 million euros)."/>
    <m/>
    <m/>
    <n v="0"/>
    <n v="0"/>
    <m/>
    <m/>
    <m/>
    <m/>
  </r>
  <r>
    <x v="7"/>
    <x v="15"/>
    <x v="2"/>
    <m/>
    <x v="129"/>
    <x v="182"/>
    <s v="http://www.agaportal.de/pages/aga/projektinformationen/liste.html"/>
    <x v="4"/>
    <x v="2"/>
    <x v="17"/>
    <x v="142"/>
    <s v="The AGA website lists KfW as a project financier."/>
    <m/>
    <m/>
    <n v="0"/>
    <n v="0"/>
    <m/>
    <m/>
    <m/>
    <m/>
  </r>
  <r>
    <x v="7"/>
    <x v="1"/>
    <x v="0"/>
    <n v="410738.16242826113"/>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7"/>
    <x v="0"/>
    <x v="0"/>
    <n v="7382768.466752111"/>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7"/>
    <x v="5"/>
    <x v="0"/>
    <n v="5197200"/>
    <x v="49"/>
    <x v="54"/>
    <m/>
    <x v="5"/>
    <x v="0"/>
    <x v="1"/>
    <x v="52"/>
    <s v="ADB Project 43906-014: Source of Funding - ADB LIBOR Based Loan. CFB subcritical "/>
    <m/>
    <n v="15.384615384615385"/>
    <n v="1.750881126E-2"/>
    <n v="0.70035245040000005"/>
    <m/>
    <m/>
    <m/>
    <m/>
  </r>
  <r>
    <x v="7"/>
    <x v="3"/>
    <x v="0"/>
    <n v="8219344.2675580001"/>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7"/>
    <x v="6"/>
    <x v="0"/>
    <n v="7574605.9476079065"/>
    <x v="50"/>
    <x v="55"/>
    <s v="http://www.ebrd.com/work-with-us/projects/psd/tgk13-capacity-financing-.html"/>
    <x v="28"/>
    <x v="0"/>
    <x v="1"/>
    <x v="53"/>
    <m/>
    <m/>
    <n v="15.416666666666666"/>
    <n v="1.7545287950124999E-2"/>
    <n v="0.70181151800499997"/>
    <m/>
    <m/>
    <m/>
    <m/>
  </r>
  <r>
    <x v="7"/>
    <x v="3"/>
    <x v="0"/>
    <n v="46233811.505013749"/>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7"/>
    <x v="4"/>
    <x v="0"/>
    <n v="136752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7"/>
    <x v="6"/>
    <x v="0"/>
    <n v="1452552.1616394678"/>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7"/>
    <x v="1"/>
    <x v="0"/>
    <n v="109530.1766475363"/>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7"/>
    <x v="4"/>
    <x v="0"/>
    <n v="140448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7"/>
    <x v="6"/>
    <x v="0"/>
    <n v="1711108.4400680675"/>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7"/>
    <x v="5"/>
    <x v="0"/>
    <n v="584685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7"/>
    <x v="4"/>
    <x v="0"/>
    <n v="17512572"/>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7"/>
    <x v="1"/>
    <x v="0"/>
    <n v="662657.56871759461"/>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7"/>
    <x v="0"/>
    <x v="0"/>
    <n v="1406528.6593798674"/>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7"/>
    <x v="0"/>
    <x v="0"/>
    <n v="2285609.0714922845"/>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7"/>
    <x v="1"/>
    <x v="0"/>
    <n v="10953017.664753629"/>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7"/>
    <x v="1"/>
    <x v="0"/>
    <n v="15334.224730655082"/>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7"/>
    <x v="6"/>
    <x v="0"/>
    <n v="3109330.6907461486"/>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7"/>
    <x v="6"/>
    <x v="0"/>
    <n v="2616444.1960649067"/>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7"/>
    <x v="4"/>
    <x v="0"/>
    <n v="26334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8"/>
    <x v="0"/>
    <x v="0"/>
    <n v="20058312.059926901"/>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8"/>
    <x v="1"/>
    <x v="0"/>
    <n v="33220.722717950455"/>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8"/>
    <x v="1"/>
    <x v="0"/>
    <n v="124577.7101923142"/>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8"/>
    <x v="0"/>
    <x v="0"/>
    <n v="1002915.6029963451"/>
    <x v="18"/>
    <x v="20"/>
    <s v="http://ifcext.ifc.org/ifcext/spiwebsite1.nsf/ProjectDisplay/SPI_DP25849"/>
    <x v="4"/>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8"/>
    <x v="5"/>
    <x v="0"/>
    <n v="31690.000000000004"/>
    <x v="39"/>
    <x v="45"/>
    <m/>
    <x v="11"/>
    <x v="0"/>
    <x v="0"/>
    <x v="43"/>
    <s v="ADB Project 42074-012: Source of Funding - ADB/Technical Assistance Special Fund. technical and non-technical study of 600 MW waste-coal based utilization for power generation. ADB does not include in its list; Power Plant emission are divided evenly among the G20 countries that provided funding to the projects. "/>
    <m/>
    <n v="46.153846153846153"/>
    <n v="5.2526433780000006E-2"/>
    <n v="2.1010573512000001"/>
    <m/>
    <s v="Share of full power plant capacity of 600"/>
    <m/>
    <m/>
  </r>
  <r>
    <x v="8"/>
    <x v="4"/>
    <x v="0"/>
    <n v="32099999.999999996"/>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8"/>
    <x v="0"/>
    <x v="0"/>
    <n v="1865423.021573202"/>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8"/>
    <x v="0"/>
    <x v="0"/>
    <n v="29686301.848691814"/>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8"/>
    <x v="4"/>
    <x v="0"/>
    <n v="5777999.9999999991"/>
    <x v="17"/>
    <x v="19"/>
    <s v="http://www.worldbank.org/projects/P100101/coal-fired-generation-rehabilitation?lang=en&amp;tab=overview"/>
    <x v="4"/>
    <x v="0"/>
    <x v="1"/>
    <x v="17"/>
    <s v="The objective of the Coal Fired Generation Rehabilitation Project for India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8"/>
    <x v="5"/>
    <x v="0"/>
    <n v="22183.000000000004"/>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8"/>
    <x v="1"/>
    <x v="0"/>
    <n v="326274.95526558481"/>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8"/>
    <x v="5"/>
    <x v="0"/>
    <n v="57075274.500000007"/>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8"/>
    <x v="5"/>
    <x v="0"/>
    <n v="4468290"/>
    <x v="31"/>
    <x v="36"/>
    <s v="https://ijglobal.com/data/transaction/21533/khulna-ipp-150mw"/>
    <x v="23"/>
    <x v="0"/>
    <x v="0"/>
    <x v="34"/>
    <s v="ADB RESPONSE: This was not found in ADB project database."/>
    <m/>
    <m/>
    <n v="0"/>
    <n v="0"/>
    <m/>
    <m/>
    <m/>
    <m/>
  </r>
  <r>
    <x v="8"/>
    <x v="5"/>
    <x v="0"/>
    <n v="12676000.000000002"/>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8"/>
    <x v="5"/>
    <x v="0"/>
    <n v="1765766.8"/>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8"/>
    <x v="0"/>
    <x v="0"/>
    <n v="320932.99295883044"/>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8"/>
    <x v="4"/>
    <x v="0"/>
    <n v="950159.99999999988"/>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8"/>
    <x v="5"/>
    <x v="0"/>
    <n v="57222633.000000007"/>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8"/>
    <x v="0"/>
    <x v="0"/>
    <n v="11032071.632959796"/>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8"/>
    <x v="3"/>
    <x v="0"/>
    <n v="338422.15783606883"/>
    <x v="7"/>
    <x v="7"/>
    <s v="http://www.afdb.org/en/news-and-events/article/afdb-approves-eur-153-million-for-botswana-power-project-5255/"/>
    <x v="6"/>
    <x v="0"/>
    <x v="0"/>
    <x v="6"/>
    <m/>
    <m/>
    <n v="20"/>
    <n v="2.2761454637999997E-2"/>
    <n v="0.91045818551999991"/>
    <m/>
    <s v="Share of full power plant capacity of 600MW"/>
    <m/>
    <m/>
  </r>
  <r>
    <x v="8"/>
    <x v="3"/>
    <x v="0"/>
    <n v="6838041.6958739217"/>
    <x v="8"/>
    <x v="8"/>
    <s v="http://www.afdb.org/en/projects-and-operations/project-portfolio/project/p-za-faa-001/"/>
    <x v="7"/>
    <x v="0"/>
    <x v="0"/>
    <x v="7"/>
    <m/>
    <m/>
    <n v="160"/>
    <n v="0.18209163710399998"/>
    <n v="7.2836654841599993"/>
    <m/>
    <s v="Share of full power plant capacity of 4800, split with WBG"/>
    <m/>
    <m/>
  </r>
  <r>
    <x v="8"/>
    <x v="3"/>
    <x v="0"/>
    <n v="214310.29155188531"/>
    <x v="9"/>
    <x v="9"/>
    <s v="http://www.afdb.org/en/news-and-events/article/senior-loan-of-up-to-euro-55-million-to-sendou-power-project-in-senegal-5513/"/>
    <x v="8"/>
    <x v="0"/>
    <x v="0"/>
    <x v="7"/>
    <m/>
    <m/>
    <n v="8.3333333333333339"/>
    <n v="9.4839394324999996E-3"/>
    <n v="0.37935757729999997"/>
    <m/>
    <s v="Share of full power plant capacity of 125"/>
    <m/>
    <s v="Yes"/>
  </r>
  <r>
    <x v="8"/>
    <x v="5"/>
    <x v="0"/>
    <n v="28521000.000000004"/>
    <x v="11"/>
    <x v="11"/>
    <s v="https://ijglobal.com/data/transaction/17705/mundra-umpp"/>
    <x v="4"/>
    <x v="0"/>
    <x v="0"/>
    <x v="143"/>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
    <m/>
    <m/>
  </r>
  <r>
    <x v="8"/>
    <x v="5"/>
    <x v="0"/>
    <m/>
    <x v="36"/>
    <x v="42"/>
    <s v="http://www.adb.org/sites/default/files/projdocs/2008/41958-PHI-RRP.pdf_x000a_http://www.adb.org/sites/default/files/projdocs/2008/41958-PHI-RRP.pdf"/>
    <x v="5"/>
    <x v="0"/>
    <x v="1"/>
    <x v="40"/>
    <n v="7605600.0000000009"/>
    <m/>
    <m/>
    <n v="0"/>
    <n v="0"/>
    <m/>
    <s v="ADB Project 41958-014: Source of Funding - ADB Ordinary Capital Resources. ADB does not include in its list.; Power Plant emission are divided evenly among the G20 countries that provided funding to the projects. "/>
    <s v="CANCELLED"/>
    <m/>
  </r>
  <r>
    <x v="8"/>
    <x v="1"/>
    <x v="0"/>
    <n v="333690.29515798448"/>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8"/>
    <x v="18"/>
    <x v="1"/>
    <n v="12500000"/>
    <x v="130"/>
    <x v="183"/>
    <s v="https://ijglobal.com/data/transaction/21903/nre-no-1-colliery-and-nre-wongawilli-colliery-expansion"/>
    <x v="33"/>
    <x v="1"/>
    <x v="20"/>
    <x v="144"/>
    <s v="Proceeds will be used to finance the expansion of two mines in New South Wales, Australia. The mines, NRE No 1 Colliery and NRE Wongawilli Colliery, together produce about 1.3 million tonnes of coking coal a year. The expansion is expected to increase output to about 6 million tonnes a year by 2014-15."/>
    <m/>
    <m/>
    <n v="0"/>
    <n v="0"/>
    <m/>
    <m/>
    <m/>
    <m/>
  </r>
  <r>
    <x v="8"/>
    <x v="0"/>
    <x v="0"/>
    <n v="18052480.853934214"/>
    <x v="11"/>
    <x v="11"/>
    <s v="https://ijglobal.com/data/transaction/17705/mundra-umpp"/>
    <x v="4"/>
    <x v="0"/>
    <x v="0"/>
    <x v="9"/>
    <s v="The proposed investment by IFC is an A Loan of up to $450 million. IFC is also considering investing up to $50 million in equity as part of its exposure to the project. Additionally, IFC and CGPL are exploring the possibility of syndicating up to about $300 million in B loans for the project. This is financing to construct, operate, and maintain 4,000 MW coal-fired power in five units of 800 MW each on a build-own-operate basis, incorporating supercritical technology to significantly in reducing future power shortages in the country. _x000a__x000a_Bank response: Supercritical coal technology (higher efficiency and lower carbon dioxide emissions)"/>
    <s v="http://ifcext.ifc.org/ifcext/spiwebsite1.nsf/78e3b305216fcdba85257a8b0075079d/eab8e042d643a6ec852576ba000e2b15?opendocument"/>
    <n v="66.666666666666657"/>
    <n v="7.5871515459999983E-2"/>
    <n v="3.0348606183999993"/>
    <m/>
    <s v="The project involves the construction of the 4,000MW Mundra ultra mega power plant in Gujarat. Power plant size and emissions divided equally among IFC, Korean Exim and ADB. _x000a_"/>
    <m/>
    <m/>
  </r>
  <r>
    <x v="8"/>
    <x v="5"/>
    <x v="0"/>
    <n v="12676.000000000002"/>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8"/>
    <x v="19"/>
    <x v="2"/>
    <n v="30000000"/>
    <x v="131"/>
    <x v="184"/>
    <s v="https://ijglobal.com/data/transaction/26072/kaltim-prima-coal-and-pt-arutmin-mine-expansion-financing"/>
    <x v="16"/>
    <x v="1"/>
    <x v="21"/>
    <x v="145"/>
    <s v="The purpose of the facility was to allow for the expansion of the mining operations of PT Kaltim Prima Coal and PT Arutmin Indonesia at four separate mining sites in Kalimantan, Indonesia"/>
    <m/>
    <m/>
    <n v="0"/>
    <n v="0"/>
    <m/>
    <m/>
    <m/>
    <m/>
  </r>
  <r>
    <x v="8"/>
    <x v="18"/>
    <x v="1"/>
    <n v="17750000"/>
    <x v="130"/>
    <x v="185"/>
    <s v="https://ijglobal.com/data/transaction/28382/gujarat-nre-cokin-coal-mine-capex-facility-2013"/>
    <x v="33"/>
    <x v="1"/>
    <x v="20"/>
    <x v="146"/>
    <s v="Proceeds of $106.5m are part-financing the Gujarat NRE Cokin Coal Mine project in Wongawilli, NSW, Australia."/>
    <m/>
    <m/>
    <n v="0"/>
    <n v="0"/>
    <m/>
    <m/>
    <m/>
    <m/>
  </r>
  <r>
    <x v="8"/>
    <x v="0"/>
    <x v="0"/>
    <n v="722099.23415736842"/>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8"/>
    <x v="1"/>
    <x v="0"/>
    <n v="222460.19677198966"/>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8"/>
    <x v="0"/>
    <x v="0"/>
    <n v="5895940.2468949137"/>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8"/>
    <x v="5"/>
    <x v="0"/>
    <n v="7605600.0000000009"/>
    <x v="49"/>
    <x v="54"/>
    <m/>
    <x v="5"/>
    <x v="0"/>
    <x v="1"/>
    <x v="52"/>
    <s v="ADB Project 43906-014: Source of Funding - ADB LIBOR Based Loan. CFB subcritical "/>
    <m/>
    <n v="15.384615384615385"/>
    <n v="1.750881126E-2"/>
    <n v="0.70035245040000005"/>
    <m/>
    <m/>
    <m/>
    <m/>
  </r>
  <r>
    <x v="8"/>
    <x v="3"/>
    <x v="0"/>
    <n v="516099.43781308923"/>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8"/>
    <x v="3"/>
    <x v="0"/>
    <n v="2903059.3376986268"/>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8"/>
    <x v="1"/>
    <x v="0"/>
    <n v="59322.719139197237"/>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8"/>
    <x v="4"/>
    <x v="0"/>
    <n v="97583999.999999985"/>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8"/>
    <x v="4"/>
    <x v="0"/>
    <n v="12167825.999999998"/>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8"/>
    <x v="1"/>
    <x v="0"/>
    <n v="622888.55096157105"/>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8"/>
    <x v="1"/>
    <x v="0"/>
    <n v="358902.4507921433"/>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8"/>
    <x v="0"/>
    <x v="0"/>
    <n v="1123265.4753559064"/>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8"/>
    <x v="0"/>
    <x v="0"/>
    <n v="1825306.3974533482"/>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8"/>
    <x v="5"/>
    <x v="0"/>
    <n v="8556300"/>
    <x v="39"/>
    <x v="59"/>
    <m/>
    <x v="11"/>
    <x v="0"/>
    <x v="0"/>
    <x v="57"/>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19.23076923076923"/>
    <n v="2.1886014075000002E-2"/>
    <n v="0.87544056300000006"/>
    <m/>
    <s v="Share of full power plant capacity of 250"/>
    <m/>
    <m/>
  </r>
  <r>
    <x v="8"/>
    <x v="1"/>
    <x v="0"/>
    <n v="5932271.9139197236"/>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8"/>
    <x v="1"/>
    <x v="0"/>
    <n v="8305.1806794876138"/>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8"/>
    <x v="4"/>
    <x v="0"/>
    <n v="1829699.9999999998"/>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9"/>
    <x v="0"/>
    <x v="0"/>
    <n v="6157370.0808941498"/>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9"/>
    <x v="1"/>
    <x v="0"/>
    <n v="9096.6215100085537"/>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9"/>
    <x v="1"/>
    <x v="0"/>
    <n v="34112.330662532077"/>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9"/>
    <x v="4"/>
    <x v="0"/>
    <n v="1818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9"/>
    <x v="0"/>
    <x v="0"/>
    <n v="307868.50404470746"/>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9"/>
    <x v="5"/>
    <x v="0"/>
    <n v="27260"/>
    <x v="39"/>
    <x v="45"/>
    <m/>
    <x v="11"/>
    <x v="0"/>
    <x v="0"/>
    <x v="43"/>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46.153846153846153"/>
    <n v="5.2526433780000006E-2"/>
    <n v="2.1010573512000001"/>
    <m/>
    <s v="Share of full power plant capacity of 600"/>
    <m/>
    <m/>
  </r>
  <r>
    <x v="9"/>
    <x v="4"/>
    <x v="0"/>
    <n v="101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9"/>
    <x v="0"/>
    <x v="0"/>
    <n v="572635.41752315592"/>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9"/>
    <x v="0"/>
    <x v="0"/>
    <n v="9112907.719723342"/>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9"/>
    <x v="5"/>
    <x v="0"/>
    <n v="19082"/>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9"/>
    <x v="1"/>
    <x v="0"/>
    <n v="89341.818401869721"/>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9"/>
    <x v="5"/>
    <x v="0"/>
    <n v="49096623"/>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9"/>
    <x v="5"/>
    <x v="0"/>
    <n v="3843660"/>
    <x v="31"/>
    <x v="36"/>
    <s v="https://ijglobal.com/data/transaction/21533/khulna-ipp-150mw"/>
    <x v="23"/>
    <x v="0"/>
    <x v="0"/>
    <x v="34"/>
    <s v="ADB RESPONSE: This was not found in ADB project database."/>
    <m/>
    <m/>
    <n v="0"/>
    <n v="0"/>
    <m/>
    <m/>
    <m/>
    <m/>
  </r>
  <r>
    <x v="9"/>
    <x v="5"/>
    <x v="0"/>
    <n v="10904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9"/>
    <x v="5"/>
    <x v="0"/>
    <n v="1518927.2"/>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9"/>
    <x v="4"/>
    <x v="0"/>
    <n v="298960"/>
    <x v="20"/>
    <x v="186"/>
    <s v="http://www.worldbank.org/projects/P118916/infrastructure-guarantee-fund?lang=en"/>
    <x v="16"/>
    <x v="2"/>
    <x v="4"/>
    <x v="21"/>
    <s v="The development objective is to strengthen the Indonesia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9"/>
    <x v="0"/>
    <x v="0"/>
    <n v="98517.92129430639"/>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9"/>
    <x v="5"/>
    <x v="0"/>
    <n v="49223382"/>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9"/>
    <x v="0"/>
    <x v="0"/>
    <n v="3386553.5444917823"/>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9"/>
    <x v="5"/>
    <x v="0"/>
    <n v="245340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9"/>
    <x v="5"/>
    <x v="0"/>
    <m/>
    <x v="36"/>
    <x v="42"/>
    <s v="http://www.adb.org/sites/default/files/projdocs/2008/41958-PHI-RRP.pdf_x000a_http://www.adb.org/sites/default/files/projdocs/2008/41958-PHI-RRP.pdf"/>
    <x v="5"/>
    <x v="0"/>
    <x v="1"/>
    <x v="40"/>
    <n v="6542400"/>
    <m/>
    <m/>
    <n v="0"/>
    <n v="0"/>
    <m/>
    <s v="ADB Project 41958-014: Source of Funding - ADB Ordinary Capital Resources. ADB does not include in its list.; Power Plant emission are divided evenly among the G20 countries that provided funding to the projects. "/>
    <s v="CANCELLED"/>
    <m/>
  </r>
  <r>
    <x v="9"/>
    <x v="1"/>
    <x v="0"/>
    <n v="91372.314274639488"/>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9"/>
    <x v="5"/>
    <x v="0"/>
    <n v="10904"/>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9"/>
    <x v="0"/>
    <x v="0"/>
    <n v="5541633.072804735"/>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9"/>
    <x v="0"/>
    <x v="0"/>
    <n v="221665.32291218938"/>
    <x v="12"/>
    <x v="12"/>
    <s v="http://ifcextapps.ifc.org/ifcext/spiwebsite1.nsf/78e3b305216fcdba85257a8b0075079d/b6de0f004c9b8f3b852576c10080cd54?opendocument"/>
    <x v="16"/>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9"/>
    <x v="1"/>
    <x v="0"/>
    <n v="60914.876183092994"/>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9"/>
    <x v="0"/>
    <x v="0"/>
    <n v="1809897.3615780263"/>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9"/>
    <x v="5"/>
    <x v="0"/>
    <n v="6542400"/>
    <x v="49"/>
    <x v="54"/>
    <m/>
    <x v="5"/>
    <x v="0"/>
    <x v="1"/>
    <x v="52"/>
    <s v="ADB Project 43906-014: Source of Funding - ADB LIBOR Based Loan. CFB subcritical "/>
    <m/>
    <n v="15.384615384615385"/>
    <n v="1.750881126E-2"/>
    <n v="0.70035245040000005"/>
    <m/>
    <m/>
    <m/>
    <m/>
  </r>
  <r>
    <x v="9"/>
    <x v="1"/>
    <x v="0"/>
    <n v="16243.966982158132"/>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9"/>
    <x v="4"/>
    <x v="0"/>
    <n v="30704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9"/>
    <x v="4"/>
    <x v="0"/>
    <n v="3828506"/>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9"/>
    <x v="1"/>
    <x v="0"/>
    <n v="170561.65331266038"/>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9"/>
    <x v="1"/>
    <x v="0"/>
    <n v="98276.000242056689"/>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9"/>
    <x v="0"/>
    <x v="0"/>
    <n v="344812.72453007236"/>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9"/>
    <x v="0"/>
    <x v="0"/>
    <n v="560320.67736136762"/>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9"/>
    <x v="1"/>
    <x v="0"/>
    <n v="1624396.6982158131"/>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9"/>
    <x v="5"/>
    <x v="0"/>
    <n v="7360200"/>
    <x v="39"/>
    <x v="59"/>
    <m/>
    <x v="11"/>
    <x v="0"/>
    <x v="0"/>
    <x v="57"/>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19.23076923076923"/>
    <n v="2.1886014075000002E-2"/>
    <n v="0.87544056300000006"/>
    <m/>
    <s v="Share of full power plant capacity of 250"/>
    <m/>
    <m/>
  </r>
  <r>
    <x v="9"/>
    <x v="1"/>
    <x v="0"/>
    <n v="2274.1553775021384"/>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9"/>
    <x v="4"/>
    <x v="0"/>
    <n v="5757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0"/>
    <x v="0"/>
    <x v="0"/>
    <n v="15848768.974118469"/>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0"/>
    <x v="1"/>
    <x v="0"/>
    <n v="25638.581507865627"/>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0"/>
    <x v="1"/>
    <x v="0"/>
    <n v="96144.6806544961"/>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0"/>
    <x v="0"/>
    <x v="0"/>
    <n v="792438.44870592351"/>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0"/>
    <x v="6"/>
    <x v="0"/>
    <n v="10383738.360748647"/>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0"/>
    <x v="6"/>
    <x v="0"/>
    <n v="9876155.556977395"/>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0"/>
    <x v="5"/>
    <x v="0"/>
    <n v="9045"/>
    <x v="39"/>
    <x v="45"/>
    <m/>
    <x v="11"/>
    <x v="0"/>
    <x v="0"/>
    <x v="43"/>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46.153846153846153"/>
    <n v="5.2526433780000006E-2"/>
    <n v="2.1010573512000001"/>
    <m/>
    <s v="Share of full power plant capacity of 600"/>
    <m/>
    <m/>
  </r>
  <r>
    <x v="10"/>
    <x v="0"/>
    <x v="0"/>
    <n v="1473935.5145930175"/>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0"/>
    <x v="4"/>
    <x v="0"/>
    <n v="76960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0"/>
    <x v="6"/>
    <x v="0"/>
    <n v="1452552.1616394678"/>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0"/>
    <x v="0"/>
    <x v="0"/>
    <n v="23456178.081695333"/>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0"/>
    <x v="12"/>
    <x v="0"/>
    <n v="81305000"/>
    <x v="98"/>
    <x v="115"/>
    <s v="http://www.eib.org/projects/pipeline/2006/20060114.htm"/>
    <x v="43"/>
    <x v="0"/>
    <x v="0"/>
    <x v="105"/>
    <s v="EIB RESPONSE: Signed amount was 343.5 MEUR e.g. about 505 MUSD at 1.67 exchange rate"/>
    <m/>
    <n v="187.5"/>
    <n v="0.21338863723125004"/>
    <n v="8.5355454892500013"/>
    <m/>
    <s v="Share of full power plant capacity of 750"/>
    <m/>
    <m/>
  </r>
  <r>
    <x v="10"/>
    <x v="4"/>
    <x v="0"/>
    <n v="4680000"/>
    <x v="17"/>
    <x v="19"/>
    <s v="http://www.worldbank.org/projects/P100101/coal-fired-generation-rehabilitation?lang=en&amp;tab=overview"/>
    <x v="4"/>
    <x v="0"/>
    <x v="1"/>
    <x v="17"/>
    <m/>
    <m/>
    <n v="22.105263157894736"/>
    <n v="2.5157397231473682E-2"/>
    <n v="1.0062958892589473"/>
    <m/>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s v="Active (restructured)"/>
    <m/>
  </r>
  <r>
    <x v="10"/>
    <x v="12"/>
    <x v="0"/>
    <n v="21161761.82052232"/>
    <x v="99"/>
    <x v="116"/>
    <s v="http://www.eib.org/projects/pipeline/2006/20060248.htm"/>
    <x v="44"/>
    <x v="4"/>
    <x v="14"/>
    <x v="106"/>
    <m/>
    <m/>
    <n v="982.5"/>
    <n v="1.1181564590917499"/>
    <n v="44.726258363669999"/>
    <m/>
    <s v="Share of full power plant capacity of 3930"/>
    <m/>
    <m/>
  </r>
  <r>
    <x v="10"/>
    <x v="5"/>
    <x v="0"/>
    <n v="6331.4999999999991"/>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10"/>
    <x v="12"/>
    <x v="0"/>
    <n v="10465000"/>
    <x v="100"/>
    <x v="117"/>
    <s v="http://www.eib.org/projects/loans/2007/20070081.htm"/>
    <x v="30"/>
    <x v="0"/>
    <x v="0"/>
    <x v="107"/>
    <s v="EIB RESPONSE: The part of the EIB loan allocated to the coal CHP was 22% of the total loan, i.e 65 MEUR"/>
    <s v="http://www.eib.org/attachments/pipeline/20070081_nts1_pl.pdf"/>
    <n v="46"/>
    <n v="5.2351345667400004E-2"/>
    <n v="2.0940538266960003"/>
    <m/>
    <s v="Share of full power plant capacity of 184"/>
    <m/>
    <m/>
  </r>
  <r>
    <x v="10"/>
    <x v="6"/>
    <x v="0"/>
    <n v="4797025.7225509658"/>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0"/>
    <x v="6"/>
    <x v="0"/>
    <n v="6469618.9163542967"/>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10"/>
    <x v="1"/>
    <x v="0"/>
    <n v="251807.49695225171"/>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0"/>
    <x v="12"/>
    <x v="0"/>
    <n v="6858157.5609657103"/>
    <x v="101"/>
    <x v="118"/>
    <s v="http://www.eib.org/projects/loans/2009/20090514.htm"/>
    <x v="29"/>
    <x v="4"/>
    <x v="14"/>
    <x v="108"/>
    <m/>
    <s v="http://www.minind.ro/international/printable/ER1/ER1.318.06.pdf"/>
    <n v="66.25"/>
    <n v="7.5397318488374998E-2"/>
    <n v="3.0158927395349999"/>
    <m/>
    <s v="Share of full power plant capacity of 265"/>
    <m/>
    <m/>
  </r>
  <r>
    <x v="10"/>
    <x v="12"/>
    <x v="0"/>
    <n v="118169452.15940833"/>
    <x v="102"/>
    <x v="119"/>
    <s v="http://www.eib.org/projects/pipeline/2006/20060303.htm"/>
    <x v="43"/>
    <x v="0"/>
    <x v="0"/>
    <x v="109"/>
    <m/>
    <s v="http://www.promecon.com/en/power/projects/power-station-in-karlsruhe"/>
    <n v="255"/>
    <n v="0.29020854663450002"/>
    <n v="11.608341865380002"/>
    <m/>
    <s v="Share of full power plant capacity of 1020"/>
    <m/>
    <m/>
  </r>
  <r>
    <x v="10"/>
    <x v="4"/>
    <x v="0"/>
    <n v="26000000"/>
    <x v="17"/>
    <x v="21"/>
    <s v="http://web.worldbank.org/external/projects/main?Projectid=P115566&amp;theSitePK=40941&amp;piPK=64290415&amp;pagePK=64283627&amp;menuPK=64282134&amp;Type=Overview"/>
    <x v="4"/>
    <x v="3"/>
    <x v="6"/>
    <x v="19"/>
    <m/>
    <m/>
    <m/>
    <n v="0"/>
    <n v="0"/>
    <m/>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s v="Active"/>
    <m/>
  </r>
  <r>
    <x v="10"/>
    <x v="5"/>
    <x v="0"/>
    <n v="16290497.249999998"/>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10"/>
    <x v="1"/>
    <x v="0"/>
    <n v="45783.181264045765"/>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0"/>
    <x v="5"/>
    <x v="0"/>
    <n v="1275345"/>
    <x v="31"/>
    <x v="36"/>
    <s v="https://ijglobal.com/data/transaction/21533/khulna-ipp-150mw"/>
    <x v="23"/>
    <x v="0"/>
    <x v="0"/>
    <x v="34"/>
    <s v="ADB RESPONSE: This was not found in ADB project database."/>
    <m/>
    <m/>
    <n v="0"/>
    <n v="0"/>
    <m/>
    <m/>
    <m/>
    <m/>
  </r>
  <r>
    <x v="10"/>
    <x v="5"/>
    <x v="0"/>
    <n v="3617999.9999999995"/>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10"/>
    <x v="5"/>
    <x v="0"/>
    <n v="503987.39999999997"/>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10"/>
    <x v="6"/>
    <x v="0"/>
    <n v="18425663.35256977"/>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0"/>
    <x v="2"/>
    <x v="0"/>
    <n v="2786965.1535330722"/>
    <x v="3"/>
    <x v="3"/>
    <s v="http://www.shiftthesubsidies.org/projects/713"/>
    <x v="3"/>
    <x v="0"/>
    <x v="0"/>
    <x v="3"/>
    <m/>
    <m/>
    <n v="60"/>
    <n v="6.8284363914000015E-2"/>
    <n v="2.7313745565600005"/>
    <m/>
    <m/>
    <m/>
    <m/>
  </r>
  <r>
    <x v="10"/>
    <x v="2"/>
    <x v="0"/>
    <n v="947947.33113369811"/>
    <x v="4"/>
    <x v="4"/>
    <s v="http://www.shiftthesubsidies.org/projects/707"/>
    <x v="3"/>
    <x v="0"/>
    <x v="0"/>
    <x v="3"/>
    <m/>
    <m/>
    <n v="30"/>
    <n v="3.4142181957000008E-2"/>
    <n v="1.3656872782800002"/>
    <m/>
    <m/>
    <m/>
    <m/>
  </r>
  <r>
    <x v="10"/>
    <x v="0"/>
    <x v="0"/>
    <n v="253580.30358589551"/>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0"/>
    <x v="12"/>
    <x v="0"/>
    <n v="18466471.640521713"/>
    <x v="103"/>
    <x v="120"/>
    <s v="http://www.eib.org/projects/pipeline/2005/20050177.htm"/>
    <x v="45"/>
    <x v="4"/>
    <x v="14"/>
    <x v="29"/>
    <m/>
    <m/>
    <n v="400"/>
    <n v="0.45522909276000001"/>
    <n v="18.209163710399999"/>
    <m/>
    <s v="Share of full power plant capacity of 1600"/>
    <m/>
    <m/>
  </r>
  <r>
    <x v="10"/>
    <x v="5"/>
    <x v="0"/>
    <n v="16332556.499999998"/>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10"/>
    <x v="0"/>
    <x v="0"/>
    <n v="8716822.9357651584"/>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0"/>
    <x v="3"/>
    <x v="0"/>
    <n v="3177715.0376439244"/>
    <x v="7"/>
    <x v="7"/>
    <s v="http://www.afdb.org/en/news-and-events/article/afdb-approves-eur-153-million-for-botswana-power-project-5255/"/>
    <x v="6"/>
    <x v="0"/>
    <x v="0"/>
    <x v="6"/>
    <m/>
    <m/>
    <n v="20"/>
    <n v="2.2761454637999997E-2"/>
    <n v="0.91045818551999991"/>
    <m/>
    <s v="Share of full power plant capacity of 600MW"/>
    <m/>
    <m/>
  </r>
  <r>
    <x v="10"/>
    <x v="3"/>
    <x v="0"/>
    <n v="64207816.840232976"/>
    <x v="8"/>
    <x v="8"/>
    <s v="http://www.afdb.org/en/projects-and-operations/project-portfolio/project/p-za-faa-001/"/>
    <x v="7"/>
    <x v="0"/>
    <x v="0"/>
    <x v="7"/>
    <m/>
    <m/>
    <n v="160"/>
    <n v="0.18209163710399998"/>
    <n v="7.2836654841599993"/>
    <m/>
    <s v="Share of full power plant capacity of 4800, split with WBG"/>
    <m/>
    <m/>
  </r>
  <r>
    <x v="10"/>
    <x v="3"/>
    <x v="0"/>
    <n v="2012329.9270379429"/>
    <x v="9"/>
    <x v="9"/>
    <s v="http://www.afdb.org/en/news-and-events/article/senior-loan-of-up-to-euro-55-million-to-sendou-power-project-in-senegal-5513/"/>
    <x v="8"/>
    <x v="0"/>
    <x v="0"/>
    <x v="7"/>
    <m/>
    <m/>
    <n v="8.3333333333333339"/>
    <n v="9.4839394324999996E-3"/>
    <n v="0.37935757729999997"/>
    <m/>
    <s v="Share of full power plant capacity of 125"/>
    <m/>
    <s v="Yes"/>
  </r>
  <r>
    <x v="10"/>
    <x v="5"/>
    <x v="0"/>
    <n v="8140499.9999999991"/>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10"/>
    <x v="5"/>
    <x v="0"/>
    <m/>
    <x v="36"/>
    <x v="42"/>
    <s v="http://www.adb.org/sites/default/files/projdocs/2008/41958-PHI-RRP.pdf_x000a_http://www.adb.org/sites/default/files/projdocs/2008/41958-PHI-RRP.pdf"/>
    <x v="5"/>
    <x v="0"/>
    <x v="1"/>
    <x v="40"/>
    <n v="2170800"/>
    <m/>
    <m/>
    <n v="0"/>
    <n v="0"/>
    <m/>
    <s v="ADB Project 41958-014: Source of Funding - ADB Ordinary Capital Resources. ADB does not include in its list.; Power Plant emission are divided evenly among the G20 countries that provided funding to the projects. "/>
    <s v="CANCELLED"/>
    <m/>
  </r>
  <r>
    <x v="10"/>
    <x v="20"/>
    <x v="1"/>
    <n v="5800000"/>
    <x v="33"/>
    <x v="187"/>
    <m/>
    <x v="53"/>
    <x v="2"/>
    <x v="3"/>
    <x v="41"/>
    <s v="OECD data on export credit support for fossil fuel power plants and fossil fuel extraction projects, 9 October 2014"/>
    <m/>
    <m/>
    <n v="0"/>
    <n v="0"/>
    <m/>
    <m/>
    <m/>
    <m/>
  </r>
  <r>
    <x v="10"/>
    <x v="6"/>
    <x v="0"/>
    <n v="2690146.8494751859"/>
    <x v="38"/>
    <x v="44"/>
    <s v="http://www.ebrd.com/work-with-us/projects/psd/mak.html"/>
    <x v="9"/>
    <x v="1"/>
    <x v="2"/>
    <x v="42"/>
    <s v="Expansion of Eldev coal mine. Mongolyn Alt Corporation (‘MAK’ or the ‘Company’), a medium-sized Mongolian mining company producing coal"/>
    <m/>
    <m/>
    <n v="0"/>
    <n v="0"/>
    <m/>
    <s v="Yes"/>
    <m/>
    <m/>
  </r>
  <r>
    <x v="10"/>
    <x v="12"/>
    <x v="0"/>
    <n v="13723740.742281655"/>
    <x v="105"/>
    <x v="122"/>
    <s v="http://www.eib.org/projects/loans/2008/20080679.htm"/>
    <x v="30"/>
    <x v="0"/>
    <x v="0"/>
    <x v="111"/>
    <m/>
    <s v="http://www.banktrack.org/manage/ajax/ems_dodgydeals/createPDF/ostroleka_c_coal_and_biomass_power_plant"/>
    <n v="50.25"/>
    <n v="5.7188154777975002E-2"/>
    <n v="2.2875261911189999"/>
    <m/>
    <s v="Share of full power plant capacity of 201"/>
    <m/>
    <m/>
  </r>
  <r>
    <x v="10"/>
    <x v="1"/>
    <x v="0"/>
    <n v="257530.39461025741"/>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0"/>
    <x v="12"/>
    <x v="0"/>
    <n v="14325511.997638566"/>
    <x v="106"/>
    <x v="123"/>
    <s v="http://www.eib.org/projects/pipeline/2010/20100270.htm"/>
    <x v="30"/>
    <x v="0"/>
    <x v="0"/>
    <x v="112"/>
    <m/>
    <m/>
    <n v="39"/>
    <n v="4.4384836544100005E-2"/>
    <n v="1.7753934617640001"/>
    <m/>
    <s v="Share of full power plant capacity of 156"/>
    <m/>
    <m/>
  </r>
  <r>
    <x v="10"/>
    <x v="6"/>
    <x v="0"/>
    <n v="7311834.7986874059"/>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_x000a_EBRD RESPONSE: Equity investment to support privatisation of the energy sector. Proceeds of the entire share issue were for the priority capital investment needs of the company, mainly for rehabilitation at its existing four power stations and the preparatory work for prospective new plants."/>
    <m/>
    <m/>
    <n v="0"/>
    <n v="0"/>
    <m/>
    <m/>
    <m/>
    <m/>
  </r>
  <r>
    <x v="10"/>
    <x v="6"/>
    <x v="0"/>
    <m/>
    <x v="42"/>
    <x v="48"/>
    <s v="http://www.ebrd.com/work-with-us/projects/psd/oltenia---turceni-rehabilitation.html"/>
    <x v="29"/>
    <x v="0"/>
    <x v="1"/>
    <x v="37"/>
    <m/>
    <m/>
    <m/>
    <n v="0"/>
    <n v="0"/>
    <m/>
    <s v="Financing for the rehabilitation and modernisation of unit 6 of CET Oltenia’s Turceni lignite fired power plant"/>
    <s v="CANCELLED"/>
    <m/>
  </r>
  <r>
    <x v="10"/>
    <x v="6"/>
    <x v="0"/>
    <n v="4974929.1051938375"/>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10"/>
    <x v="6"/>
    <x v="0"/>
    <n v="3163317.8843691777"/>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0"/>
    <x v="5"/>
    <x v="0"/>
    <n v="3617.9999999999995"/>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10"/>
    <x v="12"/>
    <x v="0"/>
    <n v="92899168.101598889"/>
    <x v="107"/>
    <x v="124"/>
    <s v="http://www.eib.org/attachments/pipeline/20060319_nts_en.pdf"/>
    <x v="31"/>
    <x v="0"/>
    <x v="0"/>
    <x v="113"/>
    <s v="Emissions counted from 2003 loan"/>
    <m/>
    <m/>
    <n v="0"/>
    <n v="0"/>
    <m/>
    <m/>
    <m/>
    <m/>
  </r>
  <r>
    <x v="10"/>
    <x v="12"/>
    <x v="0"/>
    <n v="25070873.909512851"/>
    <x v="108"/>
    <x v="125"/>
    <s v="http://www.eib.org/projects/pipeline/2006/20060319.htm"/>
    <x v="31"/>
    <x v="0"/>
    <x v="0"/>
    <x v="114"/>
    <m/>
    <s v="http://www.eib.org/infocentre/press/news/topical_briefs/2013-march-01/tes-thermal-power-plant-sostanj-project-slovenia.htm_x000a_http://www.eib.org/infocentre/press/releases/all/2007/2007-093-eib-supports-environmental-improvement-in-slovenia.htm"/>
    <n v="180"/>
    <n v="0.204853091742"/>
    <n v="8.1941236696799997"/>
    <m/>
    <s v="Share of full power plant capacity of 720"/>
    <m/>
    <m/>
  </r>
  <r>
    <x v="10"/>
    <x v="20"/>
    <x v="1"/>
    <m/>
    <x v="132"/>
    <x v="188"/>
    <s v="http://www.sace.it/GruppoSACE/export/sites/default/download/comunicati/2011/20111228_-_PR_-_SACE_-_Santos_-_EN.pdf"/>
    <x v="33"/>
    <x v="1"/>
    <x v="22"/>
    <x v="147"/>
    <s v="In response to NRDC inquiry, SACE staff highlighted that this exact project is for methane capture from a coal seam. They point out that this isn't for a coal mining operation. However, we have chosen to list it as there is active coal mining in the basin where this project is occuring and we have no way to guarantee that this investment isn't directly or indirectly supporting that mining (e.g., by making the mining more financially attractive, etc.). We have not included this $280,000,000 in financing in the totals. "/>
    <m/>
    <m/>
    <n v="0"/>
    <n v="0"/>
    <m/>
    <m/>
    <m/>
    <m/>
  </r>
  <r>
    <x v="10"/>
    <x v="6"/>
    <x v="0"/>
    <n v="11884552.8624075"/>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0"/>
    <x v="0"/>
    <x v="0"/>
    <n v="14263892.076706622"/>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10"/>
    <x v="20"/>
    <x v="1"/>
    <n v="57800000"/>
    <x v="133"/>
    <x v="189"/>
    <s v="http://www.sace.it/GruppoSACE/export/sites/default/download/comunicati/2013/20130129-CS_-Coeclerici_SACE_Indonesia_EN.pdf"/>
    <x v="16"/>
    <x v="2"/>
    <x v="4"/>
    <x v="148"/>
    <s v="In response to an inquiry from NRDC on the values staff at SACE pointed out that this loan is for &quot;shipping equipment&quot;. However, the investment documentation from SACE clearly states that this is a project for shipping coal so we have documented as a project to support coal mining - exports. This is a similar methodology as we have followed with other investments -- where the investment is directly supportive of a coal project even if the project doesn't explicitly cover a coal mine or coal power plant"/>
    <m/>
    <m/>
    <n v="0"/>
    <n v="0"/>
    <n v="18"/>
    <m/>
    <m/>
    <m/>
  </r>
  <r>
    <x v="10"/>
    <x v="1"/>
    <x v="0"/>
    <n v="480723.40327248053"/>
    <x v="62"/>
    <x v="68"/>
    <s v="http://www.ebrd.com/work-with-us/projects/psd/eps-restructuring.html"/>
    <x v="34"/>
    <x v="2"/>
    <x v="4"/>
    <x v="66"/>
    <s v="Total Financing - $150 mil loan. As stated on the World Bank website under 'Details' - 'Sectors': Coal Mining - 7%. Amount included is $150 mil * .07 =$21,00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No link to coal. Wrong sector coding. There is no coal or coal mining in Cote D’Ivoire. "/>
    <s v="http://www.worldbank.org/projects/P122800/ci-egrg-econ-gov-recovery-4?lang=en&amp;tab=overview"/>
    <m/>
    <n v="0"/>
    <n v="0"/>
    <m/>
    <s v="WBG"/>
    <s v="Status: Closed"/>
    <m/>
  </r>
  <r>
    <x v="10"/>
    <x v="0"/>
    <x v="0"/>
    <n v="570555.68306826486"/>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0"/>
    <x v="1"/>
    <x v="0"/>
    <n v="171686.92974017162"/>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0"/>
    <x v="0"/>
    <x v="0"/>
    <n v="4658587.1522523826"/>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0"/>
    <x v="5"/>
    <x v="0"/>
    <n v="2170800"/>
    <x v="49"/>
    <x v="54"/>
    <m/>
    <x v="5"/>
    <x v="0"/>
    <x v="1"/>
    <x v="52"/>
    <s v="ADB Project 43906-014: Source of Funding - ADB LIBOR Based Loan. CFB subcritical "/>
    <m/>
    <n v="15.384615384615385"/>
    <n v="1.750881126E-2"/>
    <n v="0.70035245040000005"/>
    <m/>
    <m/>
    <m/>
    <m/>
  </r>
  <r>
    <x v="10"/>
    <x v="3"/>
    <x v="0"/>
    <n v="4846068.4576470628"/>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10"/>
    <x v="6"/>
    <x v="0"/>
    <n v="7574605.9476079065"/>
    <x v="50"/>
    <x v="55"/>
    <s v="http://www.ebrd.com/work-with-us/projects/psd/tgk13-capacity-financing-.html"/>
    <x v="28"/>
    <x v="0"/>
    <x v="1"/>
    <x v="53"/>
    <m/>
    <m/>
    <n v="15.416666666666666"/>
    <n v="1.7545287950124999E-2"/>
    <n v="0.70181151800499997"/>
    <m/>
    <m/>
    <m/>
    <m/>
  </r>
  <r>
    <x v="10"/>
    <x v="3"/>
    <x v="0"/>
    <n v="27259135.074264731"/>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10"/>
    <x v="4"/>
    <x v="0"/>
    <n v="79040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0"/>
    <x v="6"/>
    <x v="0"/>
    <n v="1711108.4400680675"/>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0"/>
    <x v="4"/>
    <x v="0"/>
    <n v="9855560"/>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0"/>
    <x v="1"/>
    <x v="0"/>
    <n v="276988.24664747686"/>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0"/>
    <x v="20"/>
    <x v="1"/>
    <n v="632000000"/>
    <x v="33"/>
    <x v="190"/>
    <s v="http://www.sace.it/en/about-us/environmental-impact/single-environmental-news/environmental-and-social-impact-assessment-availability-for-the-punta-catalina-project"/>
    <x v="54"/>
    <x v="0"/>
    <x v="0"/>
    <x v="117"/>
    <s v="Coal-to-liquids_x000a_Annual emissions data provided by SACE"/>
    <s v="http://www.sace.it/docs/default-source/report-ambiente/op-2015_eng.pdf?sfvrsn=4"/>
    <n v="752"/>
    <n v="0.85583069438880011"/>
    <n v="34.233227775552002"/>
    <m/>
    <m/>
    <m/>
    <m/>
  </r>
  <r>
    <x v="10"/>
    <x v="0"/>
    <x v="0"/>
    <n v="887531.06255063426"/>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0"/>
    <x v="0"/>
    <x v="0"/>
    <n v="1442237.9766447807"/>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0"/>
    <x v="1"/>
    <x v="0"/>
    <n v="4578318.126404576"/>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0"/>
    <x v="1"/>
    <x v="0"/>
    <n v="6409.6453769664067"/>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0"/>
    <x v="5"/>
    <x v="0"/>
    <n v="244215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10"/>
    <x v="6"/>
    <x v="0"/>
    <n v="3109330.6907461486"/>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0"/>
    <x v="6"/>
    <x v="0"/>
    <n v="2616444.1960649067"/>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0"/>
    <x v="4"/>
    <x v="0"/>
    <n v="14820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1"/>
    <x v="0"/>
    <x v="0"/>
    <n v="31668311.77545882"/>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1"/>
    <x v="1"/>
    <x v="0"/>
    <n v="94864.377842685251"/>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1"/>
    <x v="1"/>
    <x v="0"/>
    <n v="355741.41691006965"/>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1"/>
    <x v="0"/>
    <x v="0"/>
    <n v="1467500"/>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1"/>
    <x v="5"/>
    <x v="0"/>
    <n v="1000000"/>
    <x v="134"/>
    <x v="191"/>
    <s v="https://www.adb.org/sites/default/files/project-document/65469/41120-vie-tar.pdf"/>
    <x v="24"/>
    <x v="0"/>
    <x v="0"/>
    <x v="149"/>
    <s v="ADB Project 41120-012:  _x000a_Source of Funding - Japan Special Fund.  _x000a_The proposed PPTA will undertake the necessary technical, financial, social, and environmental analysis to determine the feasibility of Vinh Tan Thermal Power Generation Project (appears to be two proposed 1,000-MW coal-fired plants). "/>
    <m/>
    <m/>
    <m/>
    <m/>
    <m/>
    <m/>
    <m/>
    <m/>
  </r>
  <r>
    <x v="11"/>
    <x v="6"/>
    <x v="0"/>
    <n v="9710756.8398277741"/>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1"/>
    <x v="21"/>
    <x v="1"/>
    <n v="288766965"/>
    <x v="8"/>
    <x v="192"/>
    <s v="http://www.nexi.go.jp/topics/en/newsrelease/002169.html"/>
    <x v="7"/>
    <x v="2"/>
    <x v="15"/>
    <x v="150"/>
    <m/>
    <m/>
    <m/>
    <n v="0"/>
    <n v="0"/>
    <m/>
    <m/>
    <m/>
    <m/>
  </r>
  <r>
    <x v="11"/>
    <x v="6"/>
    <x v="0"/>
    <n v="9236071.0366749614"/>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1"/>
    <x v="5"/>
    <x v="0"/>
    <n v="78210"/>
    <x v="39"/>
    <x v="45"/>
    <m/>
    <x v="11"/>
    <x v="0"/>
    <x v="0"/>
    <x v="43"/>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46.153846153846153"/>
    <n v="5.2526433780000006E-2"/>
    <n v="2.1010573512000001"/>
    <m/>
    <s v="Share of full power plant capacity of 600"/>
    <m/>
    <m/>
  </r>
  <r>
    <x v="11"/>
    <x v="0"/>
    <x v="0"/>
    <n v="2945152.9951176704"/>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s v="Active"/>
    <m/>
  </r>
  <r>
    <x v="11"/>
    <x v="22"/>
    <x v="1"/>
    <n v="17000000"/>
    <x v="135"/>
    <x v="193"/>
    <s v="http://www.jbic.go.jp/en/information/press/press-2006/0327-6982"/>
    <x v="16"/>
    <x v="1"/>
    <x v="2"/>
    <x v="151"/>
    <s v="Co-financed with Australia and New Zealand Banking Group Limited, Tokyo Branch (agent bank) and Mizuho Corporate Bank, Ltd.; JBIC financed amount maybe smaller"/>
    <m/>
    <m/>
    <n v="0"/>
    <n v="0"/>
    <m/>
    <m/>
    <m/>
    <m/>
  </r>
  <r>
    <x v="11"/>
    <x v="22"/>
    <x v="1"/>
    <n v="37358921.160000004"/>
    <x v="35"/>
    <x v="194"/>
    <s v="http://www.jbic.go.jp/en/information/press/press-2006/0329-6983"/>
    <x v="24"/>
    <x v="0"/>
    <x v="0"/>
    <x v="152"/>
    <m/>
    <s v="http://sekitan.jp/jbic/wp-content/uploads/2014/01/Lists-of-Approved-Coal-Investments-by-JBIC-April-2015.pdf_x000a_http://www.talkvietnam.com/2014/03/generating-unit-4-under-haiphong-thermal-power-plant-connected-to-national-grid/"/>
    <n v="600"/>
    <n v="0.68284363914000001"/>
    <n v="27.313745565600001"/>
    <m/>
    <m/>
    <m/>
    <m/>
  </r>
  <r>
    <x v="11"/>
    <x v="4"/>
    <x v="0"/>
    <n v="234432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1"/>
    <x v="6"/>
    <x v="0"/>
    <n v="1358410.6560472033"/>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1"/>
    <x v="1"/>
    <x v="0"/>
    <n v="169400.67471908079"/>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1"/>
    <x v="23"/>
    <x v="2"/>
    <n v="178015500"/>
    <x v="136"/>
    <x v="195"/>
    <s v="http://www.jica.go.jp/english/our_work/evaluation/oda_loan/economic_cooperation/c8h0vm000001rdjt-att/vietnam110124_02.pdf"/>
    <x v="24"/>
    <x v="0"/>
    <x v="0"/>
    <x v="153"/>
    <m/>
    <m/>
    <n v="600"/>
    <n v="0.68284363914000001"/>
    <n v="27.313745565600001"/>
    <m/>
    <m/>
    <m/>
    <m/>
  </r>
  <r>
    <x v="11"/>
    <x v="21"/>
    <x v="1"/>
    <m/>
    <x v="137"/>
    <x v="196"/>
    <s v="http://www.nexi.go.jp/topics/en/newsrelease/002150.html"/>
    <x v="16"/>
    <x v="1"/>
    <x v="2"/>
    <x v="153"/>
    <s v="Project doesn't specify the exact type of mining equipment but the Indonesian company receiving the funding is a major Indonesian coal mining company"/>
    <s v="http://www.pamapersada.com/en/"/>
    <m/>
    <n v="0"/>
    <n v="0"/>
    <m/>
    <m/>
    <m/>
    <m/>
  </r>
  <r>
    <x v="11"/>
    <x v="21"/>
    <x v="1"/>
    <n v="24638400"/>
    <x v="35"/>
    <x v="197"/>
    <s v="http://www.nexi.go.jp/topics/newsrelease/001428.html"/>
    <x v="24"/>
    <x v="0"/>
    <x v="0"/>
    <x v="154"/>
    <m/>
    <s v="http://www.nexi.go.jp/topics/environment/mt_file/06-034.pdf_x000a_http://www.talkvietnam.com/2014/03/generating-unit-4-under-haiphong-thermal-power-plant-connected-to-national-grid/ _x000a_http://www.nexi.go.jp/sitemap/404.html http://www.nexi.go.jp/sitemap/404.html _x000a_http://www.nexi.go.jp/sitemap/404.html"/>
    <n v="600"/>
    <n v="0.68284363914000001"/>
    <n v="27.313745565600001"/>
    <m/>
    <m/>
    <m/>
    <m/>
  </r>
  <r>
    <x v="11"/>
    <x v="22"/>
    <x v="1"/>
    <n v="1536465715.75"/>
    <x v="138"/>
    <x v="198"/>
    <s v="https://www.jbic.go.jp/en/information/press/press-2007/0607-7048"/>
    <x v="5"/>
    <x v="0"/>
    <x v="1"/>
    <x v="155"/>
    <s v="Amount of loan is USD1,566,000,000 -  but JBIC provided political risk guarantee for remaining total, so total amount financed by JBIC may be higher. Loan amount was for $2.7 billion. The investment is for the IPP company for 3 power plant projects. Two of the plants are coal-fired while the 3rd is gas-fired. JBIC investment is for 20% of the gas-fired power plant and 100% equity of the other 2."/>
    <s v="http://sekitan.jp/jbic/wp-content/uploads/2015/02/jbiccoallisten.pdf_x000a_http://www.jbic.go.jp/en/about/press/2007/0607-03/attach1%201%200607%20.pdf"/>
    <n v="1953"/>
    <n v="2.2226560454006998"/>
    <n v="88.906241816028"/>
    <m/>
    <m/>
    <m/>
    <m/>
  </r>
  <r>
    <x v="11"/>
    <x v="22"/>
    <x v="1"/>
    <n v="139765377.60000002"/>
    <x v="8"/>
    <x v="181"/>
    <s v="http://www.jbic.go.jp/en/information/press/press-2013/0127-17508"/>
    <x v="7"/>
    <x v="3"/>
    <x v="6"/>
    <x v="156"/>
    <m/>
    <m/>
    <m/>
    <n v="0"/>
    <n v="0"/>
    <m/>
    <m/>
    <m/>
    <m/>
  </r>
  <r>
    <x v="11"/>
    <x v="22"/>
    <x v="1"/>
    <n v="380000000"/>
    <x v="139"/>
    <x v="199"/>
    <s v="http://www.jbic.go.jp/en/information/press/press-2007/1220-7083"/>
    <x v="4"/>
    <x v="0"/>
    <x v="0"/>
    <x v="29"/>
    <m/>
    <s v="http://sekitan.jp/jbic/wp-content/uploads/2014/01/Lists-of-Approved-Coal-Investments-by-JBIC-April-2015.pdf"/>
    <n v="1980"/>
    <n v="2.2533840091619997"/>
    <n v="90.135360366479986"/>
    <m/>
    <m/>
    <m/>
    <m/>
  </r>
  <r>
    <x v="11"/>
    <x v="22"/>
    <x v="1"/>
    <n v="74929221.75"/>
    <x v="8"/>
    <x v="200"/>
    <s v="https://www.jbic.go.jp/en/information/press/press-2008/0710-7112"/>
    <x v="7"/>
    <x v="3"/>
    <x v="6"/>
    <x v="157"/>
    <m/>
    <m/>
    <m/>
    <n v="0"/>
    <n v="0"/>
    <m/>
    <s v="JBIC co-financed and provided a guarantee for remainder."/>
    <m/>
    <m/>
  </r>
  <r>
    <x v="11"/>
    <x v="0"/>
    <x v="0"/>
    <n v="46869101.427679054"/>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1"/>
    <x v="22"/>
    <x v="1"/>
    <n v="883580000"/>
    <x v="140"/>
    <x v="201"/>
    <s v="http://www.jbic.go.jp/en/information/press/press-2008/1230-7135"/>
    <x v="16"/>
    <x v="0"/>
    <x v="0"/>
    <x v="158"/>
    <m/>
    <s v="http://sekitan.jp/jbic/wp-content/uploads/2014/01/Lists-of-Approved-Coal-Investments-by-JBIC-April-2015.pdf"/>
    <n v="660"/>
    <n v="0.75112800305400007"/>
    <n v="30.045120122160004"/>
    <m/>
    <s v="The 660-MW Unit 3 achieved commercial operation on Oct. 13, 2011, and the 660-MW Unit 4 started operating on Jan. 1, 2012. Neville A. Tanjung Jati B Electric Generating Station's Expansion Project Central Java Province, Republic of Indonesia. Power [serial online]. October 2012;156(10):42-44. Available from: Business Source Complete, Ipswich, MA. Accessed August 17, 2015."/>
    <m/>
    <m/>
  </r>
  <r>
    <x v="11"/>
    <x v="21"/>
    <x v="1"/>
    <n v="560660000"/>
    <x v="141"/>
    <x v="202"/>
    <s v="http://www.edf.org/sites/default/files/9584_coal-plants-spreadsheet.xls"/>
    <x v="16"/>
    <x v="0"/>
    <x v="0"/>
    <x v="159"/>
    <m/>
    <s v="http://www.thejakartapost.com/news/2012/02/07/tanjung-jati-power-plants-begin-operation.html"/>
    <n v="660"/>
    <n v="0.75112800305400007"/>
    <n v="30.045120122160004"/>
    <m/>
    <s v="Unit 3 began in 2011 and Unit 4 began in 2012. "/>
    <m/>
    <m/>
  </r>
  <r>
    <x v="11"/>
    <x v="4"/>
    <x v="0"/>
    <n v="14256000.000000002"/>
    <x v="17"/>
    <x v="19"/>
    <s v="http://www.worldbank.org/projects/P100101/coal-fired-generation-rehabilitation?lang=en&amp;tab=overview"/>
    <x v="4"/>
    <x v="0"/>
    <x v="1"/>
    <x v="17"/>
    <m/>
    <m/>
    <n v="22.105263157894736"/>
    <n v="2.5157397231473682E-2"/>
    <n v="1.0062958892589473"/>
    <m/>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s v="Active (restructured)"/>
    <m/>
  </r>
  <r>
    <x v="11"/>
    <x v="5"/>
    <x v="0"/>
    <n v="54747"/>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11"/>
    <x v="6"/>
    <x v="0"/>
    <n v="4797025.7225509658"/>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1"/>
    <x v="6"/>
    <x v="0"/>
    <n v="6050315.7880546879"/>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11"/>
    <x v="1"/>
    <x v="0"/>
    <n v="931703.71095494437"/>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1"/>
    <x v="22"/>
    <x v="1"/>
    <n v="153700000"/>
    <x v="142"/>
    <x v="203"/>
    <s v="http://www.jbic.go.jp/en/information/press/press-2009/0728-7189"/>
    <x v="4"/>
    <x v="0"/>
    <x v="0"/>
    <x v="160"/>
    <m/>
    <m/>
    <m/>
    <n v="0"/>
    <n v="0"/>
    <m/>
    <m/>
    <m/>
    <m/>
  </r>
  <r>
    <x v="11"/>
    <x v="4"/>
    <x v="0"/>
    <n v="79200000"/>
    <x v="17"/>
    <x v="21"/>
    <s v="http://web.worldbank.org/external/projects/main?Projectid=P115566&amp;theSitePK=40941&amp;piPK=64290415&amp;pagePK=64283627&amp;menuPK=64282134&amp;Type=Overview"/>
    <x v="4"/>
    <x v="3"/>
    <x v="6"/>
    <x v="19"/>
    <m/>
    <m/>
    <m/>
    <n v="0"/>
    <n v="0"/>
    <m/>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s v="Active"/>
    <m/>
  </r>
  <r>
    <x v="11"/>
    <x v="4"/>
    <x v="0"/>
    <n v="240768000.00000003"/>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1"/>
    <x v="5"/>
    <x v="0"/>
    <n v="140860120.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11"/>
    <x v="5"/>
    <x v="0"/>
    <n v="11027610"/>
    <x v="31"/>
    <x v="36"/>
    <s v="https://ijglobal.com/data/transaction/21533/khulna-ipp-150mw"/>
    <x v="23"/>
    <x v="0"/>
    <x v="0"/>
    <x v="34"/>
    <s v="ADB RESPONSE: This was not found in ADB project database."/>
    <m/>
    <m/>
    <n v="0"/>
    <n v="0"/>
    <m/>
    <m/>
    <m/>
    <m/>
  </r>
  <r>
    <x v="11"/>
    <x v="5"/>
    <x v="0"/>
    <n v="31284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11"/>
    <x v="23"/>
    <x v="2"/>
    <n v="141489600"/>
    <x v="143"/>
    <x v="204"/>
    <s v="http://www.jbic.go.jp/en/information/press/press-2014/0717-25305"/>
    <x v="35"/>
    <x v="0"/>
    <x v="1"/>
    <x v="161"/>
    <m/>
    <m/>
    <n v="300"/>
    <n v="0.34142181957000001"/>
    <n v="13.656872782800001"/>
    <m/>
    <m/>
    <m/>
    <m/>
  </r>
  <r>
    <x v="11"/>
    <x v="5"/>
    <x v="0"/>
    <n v="4357861.2"/>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11"/>
    <x v="22"/>
    <x v="1"/>
    <n v="90000000"/>
    <x v="144"/>
    <x v="205"/>
    <s v="http://www.jbic.go.jp/en/information/press/press-2009/1022-7200"/>
    <x v="4"/>
    <x v="0"/>
    <x v="0"/>
    <x v="162"/>
    <m/>
    <m/>
    <m/>
    <n v="0"/>
    <n v="0"/>
    <m/>
    <m/>
    <m/>
    <m/>
  </r>
  <r>
    <x v="11"/>
    <x v="22"/>
    <x v="1"/>
    <n v="39300000"/>
    <x v="33"/>
    <x v="206"/>
    <m/>
    <x v="53"/>
    <x v="0"/>
    <x v="1"/>
    <x v="41"/>
    <s v="OECD data on export credit support for fossil fuel power plants and fossil fuel extraction projects, 9 October 2014"/>
    <m/>
    <m/>
    <n v="0"/>
    <n v="0"/>
    <m/>
    <m/>
    <m/>
    <m/>
  </r>
  <r>
    <x v="11"/>
    <x v="6"/>
    <x v="0"/>
    <n v="17231475.814692095"/>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1"/>
    <x v="2"/>
    <x v="0"/>
    <n v="7354736.3545013964"/>
    <x v="3"/>
    <x v="3"/>
    <s v="http://www.shiftthesubsidies.org/projects/713"/>
    <x v="3"/>
    <x v="0"/>
    <x v="0"/>
    <x v="3"/>
    <m/>
    <m/>
    <n v="60"/>
    <n v="6.8284363914000015E-2"/>
    <n v="2.7313745565600005"/>
    <m/>
    <m/>
    <m/>
    <m/>
  </r>
  <r>
    <x v="11"/>
    <x v="2"/>
    <x v="0"/>
    <n v="2501611.0049324478"/>
    <x v="4"/>
    <x v="4"/>
    <s v="http://www.shiftthesubsidies.org/projects/707"/>
    <x v="3"/>
    <x v="0"/>
    <x v="0"/>
    <x v="3"/>
    <m/>
    <m/>
    <n v="30"/>
    <n v="3.4142181957000008E-2"/>
    <n v="1.3656872782800002"/>
    <m/>
    <m/>
    <m/>
    <m/>
  </r>
  <r>
    <x v="11"/>
    <x v="0"/>
    <x v="0"/>
    <n v="506692.98840734112"/>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1"/>
    <x v="22"/>
    <x v="1"/>
    <n v="50000000"/>
    <x v="135"/>
    <x v="158"/>
    <s v="http://www.exim.gov/customcf/congressionalmap/district_map.cfm?state=PA&amp;district=12"/>
    <x v="16"/>
    <x v="1"/>
    <x v="2"/>
    <x v="163"/>
    <s v="Co-financed with The Bank of Tokyo-Mitsubishi UFJ, Ltd.; JBIC financed amount maybe smaller"/>
    <m/>
    <m/>
    <n v="0"/>
    <n v="0"/>
    <m/>
    <m/>
    <m/>
    <m/>
  </r>
  <r>
    <x v="11"/>
    <x v="5"/>
    <x v="0"/>
    <n v="141223797"/>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11"/>
    <x v="0"/>
    <x v="0"/>
    <n v="17417571.476502351"/>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1"/>
    <x v="22"/>
    <x v="1"/>
    <n v="729000000"/>
    <x v="145"/>
    <x v="207"/>
    <s v="https://ijglobal.com/data/transaction/20235/paiton-3-ipp"/>
    <x v="16"/>
    <x v="0"/>
    <x v="0"/>
    <x v="164"/>
    <m/>
    <s v="http://sekitan.jp/jbic/wp-content/uploads/2014/01/Lists-of-Approved-Coal-Investments-by-JBIC-April-2015.pdf_x000a_http://www.mhi-global.com/news/story/1004141346.html_x000a_http://www.jbic.go.jp/en/information/press/press-2009/0308-7153"/>
    <n v="815"/>
    <n v="0.92752927649849992"/>
    <n v="37.10117105994"/>
    <m/>
    <m/>
    <m/>
    <m/>
  </r>
  <r>
    <x v="11"/>
    <x v="22"/>
    <x v="1"/>
    <n v="216000000"/>
    <x v="146"/>
    <x v="208"/>
    <s v="http://www.jbic.go.jp/en/information/press/press-2009/0308-7152"/>
    <x v="16"/>
    <x v="0"/>
    <x v="0"/>
    <x v="165"/>
    <s v="JBIC-financed loan is 215,934,223 - but JBIC and K-Exim provided political risk guarantee for remaining total, so total amount financed by JBIC may be higher."/>
    <s v="http://sekitan.jp/jbic/wp-content/uploads/2014/01/Lists-of-Approved-Coal-Investments-by-JBIC-April-2015.pdf"/>
    <n v="660"/>
    <n v="0.75112800305400007"/>
    <n v="30.045120122160004"/>
    <m/>
    <m/>
    <m/>
    <m/>
  </r>
  <r>
    <x v="11"/>
    <x v="3"/>
    <x v="0"/>
    <n v="7175565.8829942904"/>
    <x v="7"/>
    <x v="7"/>
    <s v="http://www.afdb.org/en/news-and-events/article/afdb-approves-eur-153-million-for-botswana-power-project-5255/"/>
    <x v="6"/>
    <x v="0"/>
    <x v="0"/>
    <x v="6"/>
    <m/>
    <m/>
    <n v="20"/>
    <n v="2.2761454637999997E-2"/>
    <n v="0.91045818551999991"/>
    <m/>
    <s v="Share of full power plant capacity of 600MW"/>
    <m/>
    <m/>
  </r>
  <r>
    <x v="11"/>
    <x v="3"/>
    <x v="0"/>
    <n v="144987015.66453937"/>
    <x v="8"/>
    <x v="8"/>
    <s v="http://www.afdb.org/en/projects-and-operations/project-portfolio/project/p-za-faa-001/"/>
    <x v="7"/>
    <x v="0"/>
    <x v="0"/>
    <x v="7"/>
    <m/>
    <m/>
    <n v="160"/>
    <n v="0.18209163710399998"/>
    <n v="7.2836654841599993"/>
    <m/>
    <s v="Share of full power plant capacity of 4800, split with WBG"/>
    <m/>
    <m/>
  </r>
  <r>
    <x v="11"/>
    <x v="3"/>
    <x v="0"/>
    <n v="4544021.66296444"/>
    <x v="9"/>
    <x v="9"/>
    <s v="http://www.afdb.org/en/news-and-events/article/senior-loan-of-up-to-euro-55-million-to-sendou-power-project-in-senegal-5513/"/>
    <x v="8"/>
    <x v="0"/>
    <x v="0"/>
    <x v="7"/>
    <m/>
    <m/>
    <n v="8.3333333333333339"/>
    <n v="9.4839394324999996E-3"/>
    <n v="0.37935757729999997"/>
    <m/>
    <s v="Share of full power plant capacity of 125"/>
    <m/>
    <s v="Yes"/>
  </r>
  <r>
    <x v="11"/>
    <x v="5"/>
    <x v="0"/>
    <n v="703890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11"/>
    <x v="5"/>
    <x v="0"/>
    <m/>
    <x v="36"/>
    <x v="42"/>
    <s v="http://www.adb.org/sites/default/files/projdocs/2008/41958-PHI-RRP.pdf_x000a_http://www.adb.org/sites/default/files/projdocs/2008/41958-PHI-RRP.pdf"/>
    <x v="5"/>
    <x v="0"/>
    <x v="1"/>
    <x v="40"/>
    <n v="18770400"/>
    <m/>
    <m/>
    <n v="0"/>
    <n v="0"/>
    <m/>
    <s v="ADB Project 41958-014: Source of Funding - ADB Ordinary Capital Resources. ADB does not include in its list.; Power Plant emission are divided evenly among the G20 countries that provided funding to the projects. "/>
    <s v="CANCELLED"/>
    <m/>
  </r>
  <r>
    <x v="11"/>
    <x v="22"/>
    <x v="1"/>
    <n v="273000000"/>
    <x v="147"/>
    <x v="209"/>
    <s v="https://www.jbic.go.jp/ja/information/press/press-2009/0323-6441"/>
    <x v="53"/>
    <x v="0"/>
    <x v="0"/>
    <x v="166"/>
    <s v="Hanson Pressure Pipe helps cool advanced power plant in Mexico. Concrete Products [serial online]. October 2008;111(10):PC12-PC14. Available from: Business Source Complete, Ipswich, MA. Accessed August 17, 2015. Reporting from JBIC don't make this clear but Mitsubishi was commissioned for the project by the Mexican electricity company and Mitsubishi press releases state that they were seeking JBIC and NEXI funding "/>
    <s v="http://sekitan.jp/jbic/wp-content/uploads/2014/01/Lists-of-Approved-Coal-Investments-by-JBIC-April-2015.pdf_x000a_http://www.mhi.co.jp/en/news/sec1/200602071095.html"/>
    <n v="648"/>
    <n v="0.73747113027120015"/>
    <n v="29.498845210848007"/>
    <m/>
    <m/>
    <m/>
    <m/>
  </r>
  <r>
    <x v="11"/>
    <x v="6"/>
    <x v="0"/>
    <n v="2515795.4689450455"/>
    <x v="38"/>
    <x v="44"/>
    <s v="http://www.ebrd.com/work-with-us/projects/psd/mak.html"/>
    <x v="9"/>
    <x v="1"/>
    <x v="2"/>
    <x v="42"/>
    <s v="Expansion of Eldev coal mine. Mongolyn Alt Corporation (‘MAK’ or the ‘Company’), a medium-sized Mongolian mining company producing coal"/>
    <m/>
    <m/>
    <n v="0"/>
    <n v="0"/>
    <m/>
    <s v="Yes"/>
    <m/>
    <m/>
  </r>
  <r>
    <x v="11"/>
    <x v="22"/>
    <x v="1"/>
    <n v="90000000"/>
    <x v="136"/>
    <x v="210"/>
    <s v="https://ijglobal.com/data/transaction/29242/quang-ning-coal-mines-development"/>
    <x v="24"/>
    <x v="1"/>
    <x v="20"/>
    <x v="167"/>
    <s v="The financing is used for the development of 17 coal mines in Quang Ning province of Vietnam.Sumitomo Mitsui Banking Corp has financed for the term loan of $60 million and Japan Bank for International Cooperation has extended the credit facility of $90 million under non-recourse type of finance."/>
    <m/>
    <m/>
    <n v="0"/>
    <n v="0"/>
    <m/>
    <m/>
    <m/>
    <m/>
  </r>
  <r>
    <x v="11"/>
    <x v="22"/>
    <x v="1"/>
    <n v="150000000"/>
    <x v="148"/>
    <x v="211"/>
    <s v="https://www.jbic.go.jp/en/information/press/press-2009/0330-7167"/>
    <x v="24"/>
    <x v="1"/>
    <x v="2"/>
    <x v="168"/>
    <s v="Co-financed with Sumitomo Mitsui Banking Corporation; JBIC financed amount may be smaller"/>
    <m/>
    <m/>
    <n v="0"/>
    <n v="0"/>
    <m/>
    <m/>
    <m/>
    <m/>
  </r>
  <r>
    <x v="11"/>
    <x v="23"/>
    <x v="2"/>
    <n v="392136400"/>
    <x v="20"/>
    <x v="212"/>
    <s v="http://www.jica.go.jp/english/news/press/2009/091020.html"/>
    <x v="16"/>
    <x v="3"/>
    <x v="6"/>
    <x v="169"/>
    <m/>
    <m/>
    <m/>
    <n v="0"/>
    <n v="0"/>
    <m/>
    <m/>
    <m/>
    <m/>
  </r>
  <r>
    <x v="11"/>
    <x v="22"/>
    <x v="1"/>
    <n v="110000000"/>
    <x v="149"/>
    <x v="213"/>
    <s v="https://www.jbic.go.jp/en/efforts/support/support-2010/0901-4343"/>
    <x v="4"/>
    <x v="0"/>
    <x v="0"/>
    <x v="45"/>
    <m/>
    <s v="http://sekitan.jp/jbic/wp-content/uploads/2014/01/Lists-of-Approved-Coal-Investments-by-JBIC-April-2015.pdf _x000a_http://www.moneycontrol.com/annual-report/jaiprakashpowerventures/directors-report/JHP01_x000a_http://www.coalpost.in/power/upcoming-power-projects-in-madhya-pradesh/jaypee-nigrie-super-thermal-power-project/_x000a_http://www.coalpost.in/power/upcoming-power-projects-in-madhya-pradesh/jaypee-nigrie-super-thermal-power-project/"/>
    <n v="1320"/>
    <n v="1.5022560061080001"/>
    <n v="60.090240244320007"/>
    <m/>
    <m/>
    <m/>
    <m/>
  </r>
  <r>
    <x v="11"/>
    <x v="23"/>
    <x v="2"/>
    <n v="361209200"/>
    <x v="136"/>
    <x v="214"/>
    <s v="http://www.jica.go.jp/english/news/press/2010/110124.html"/>
    <x v="24"/>
    <x v="0"/>
    <x v="0"/>
    <x v="170"/>
    <s v="Also, under the Nghi Son Thermal Power Plant Construction Project (II), a new coal-fired power station and related facilities will be built in Thanh Hoa Province in northern Vietnam to resolve the intractable imbalance in power supply and demand in Vietnam, in order to support economic growth and strengthen the ability to compete internationally."/>
    <m/>
    <n v="600"/>
    <n v="0.68284363914000001"/>
    <n v="27.313745565600001"/>
    <m/>
    <m/>
    <m/>
    <m/>
  </r>
  <r>
    <x v="11"/>
    <x v="23"/>
    <x v="2"/>
    <m/>
    <x v="20"/>
    <x v="215"/>
    <s v="http://www.jica.go.jp/english/news/press/2010/110311.html"/>
    <x v="16"/>
    <x v="2"/>
    <x v="4"/>
    <x v="171"/>
    <s v="Specific improvement items include establishing an PT. SMI (infrastructure financing company) and IIGF (Indonesia Infrastructure Guarantee Fund), and opening tendering of PPP projects such as the Central Jawa Coal Fired Power Plant Project, which is planned to adopt coal-fired power generation technology that provides high efficiency."/>
    <m/>
    <m/>
    <n v="0"/>
    <n v="0"/>
    <m/>
    <m/>
    <m/>
    <m/>
  </r>
  <r>
    <x v="11"/>
    <x v="1"/>
    <x v="0"/>
    <n v="952878.79529482953"/>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1"/>
    <x v="22"/>
    <x v="1"/>
    <n v="144770000"/>
    <x v="150"/>
    <x v="181"/>
    <s v="http://www.jbic.go.jp/en/information/press/press-2013/0127-17508"/>
    <x v="33"/>
    <x v="1"/>
    <x v="2"/>
    <x v="172"/>
    <s v="Co-financed with Australia and New Zealand Banking Group Limited; JBIC financed amount may be smaller. See source for coal mine size."/>
    <s v="http://www.sojitzcoalmining.com/minerva_mine.html"/>
    <m/>
    <n v="0"/>
    <n v="0"/>
    <n v="2.8"/>
    <m/>
    <m/>
    <m/>
  </r>
  <r>
    <x v="11"/>
    <x v="22"/>
    <x v="1"/>
    <n v="58604153.850000001"/>
    <x v="151"/>
    <x v="79"/>
    <m/>
    <x v="24"/>
    <x v="0"/>
    <x v="0"/>
    <x v="173"/>
    <s v="JBIC release doesn't mention the exact plant that is supported, but this plant is located in the reported location. "/>
    <s v="http://sekitan.jp/jbic/wp-content/uploads/2014/01/Lists-of-Approved-Coal-Investments-by-JBIC-April-2015.pdf"/>
    <n v="600"/>
    <n v="0.68284363914000001"/>
    <n v="27.313745565600001"/>
    <m/>
    <s v="1200 MW plant. Shared between Hermes and JBIC"/>
    <m/>
    <m/>
  </r>
  <r>
    <x v="11"/>
    <x v="22"/>
    <x v="1"/>
    <n v="80763764.13000001"/>
    <x v="152"/>
    <x v="216"/>
    <s v="https://www.jbic.go.jp/ja/information/press/press-2011/1228-6073"/>
    <x v="4"/>
    <x v="0"/>
    <x v="0"/>
    <x v="173"/>
    <m/>
    <s v="http://sekitan.jp/jbic/wp-content/uploads/2014/01/Lists-of-Approved-Coal-Investments-by-JBIC-April-2015.pdf_x000a_http://www.larsentoubro.com/lntcorporate/common/ui_templates/HtmlContainer.aspx?res=P_PDL_BOPR_DIMS1_x000a_"/>
    <n v="700"/>
    <n v="0.79665091232999996"/>
    <n v="31.866036493199999"/>
    <m/>
    <s v="JBIC release doesn't mention the exact project name, but it lists the location which coincides with this new power plant (see: http://articles.economictimes.indiatimes.com/2013-09-07/news/41855049_1_coal-supply-pspcl-power-plant). The JBIC press release doesn't list the exact Japanese recipient but Mitsubishi is reported to have installed the turbines "/>
    <m/>
    <m/>
  </r>
  <r>
    <x v="11"/>
    <x v="23"/>
    <x v="2"/>
    <n v="516224000"/>
    <x v="136"/>
    <x v="217"/>
    <s v="http://www.jica.go.jp/english/news/press/2011/111102.html"/>
    <x v="24"/>
    <x v="0"/>
    <x v="0"/>
    <x v="174"/>
    <m/>
    <m/>
    <n v="600"/>
    <n v="0.68284363914000001"/>
    <n v="27.313745565600001"/>
    <m/>
    <m/>
    <m/>
    <m/>
  </r>
  <r>
    <x v="11"/>
    <x v="6"/>
    <x v="0"/>
    <n v="6837946.7313470766"/>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11"/>
    <x v="6"/>
    <x v="0"/>
    <m/>
    <x v="42"/>
    <x v="48"/>
    <s v="http://www.ebrd.com/work-with-us/projects/psd/oltenia---turceni-rehabilitation.html"/>
    <x v="29"/>
    <x v="0"/>
    <x v="1"/>
    <x v="37"/>
    <m/>
    <m/>
    <m/>
    <n v="0"/>
    <n v="0"/>
    <m/>
    <s v="Financing for the rehabilitation and modernisation of unit 6 of CET Oltenia’s Turceni lignite fired power plant"/>
    <s v="CANCELLED"/>
    <m/>
  </r>
  <r>
    <x v="11"/>
    <x v="23"/>
    <x v="2"/>
    <n v="367276000"/>
    <x v="153"/>
    <x v="218"/>
    <s v="http://www.jica.go.jp/english/news/press/2011/111124.html"/>
    <x v="26"/>
    <x v="0"/>
    <x v="1"/>
    <x v="175"/>
    <m/>
    <m/>
    <n v="1650"/>
    <n v="1.8778200076349998"/>
    <n v="75.112800305399986"/>
    <m/>
    <m/>
    <m/>
    <m/>
  </r>
  <r>
    <x v="11"/>
    <x v="6"/>
    <x v="0"/>
    <n v="4652498.4699668651"/>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11"/>
    <x v="21"/>
    <x v="1"/>
    <n v="33600000"/>
    <x v="154"/>
    <x v="219"/>
    <s v="http://www.nexi.go.jp/topics/newsrelease/004178.html"/>
    <x v="4"/>
    <x v="0"/>
    <x v="0"/>
    <x v="147"/>
    <m/>
    <s v="http://www.nexi.go.jp/topics/environment/mt_file/11-037.pdf"/>
    <n v="700"/>
    <n v="0.79665091232999996"/>
    <n v="31.866036493199999"/>
    <m/>
    <s v=" 4.2 billion JPY"/>
    <m/>
    <m/>
  </r>
  <r>
    <x v="11"/>
    <x v="6"/>
    <x v="0"/>
    <n v="2958299.7678663386"/>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1"/>
    <x v="22"/>
    <x v="1"/>
    <n v="6000000"/>
    <x v="33"/>
    <x v="220"/>
    <m/>
    <x v="53"/>
    <x v="0"/>
    <x v="1"/>
    <x v="49"/>
    <s v="OECD data on export credit support for fossil fuel power plants and fossil fuel extraction projects, 9 October 2014"/>
    <m/>
    <m/>
    <n v="0"/>
    <n v="0"/>
    <m/>
    <m/>
    <m/>
    <m/>
  </r>
  <r>
    <x v="11"/>
    <x v="22"/>
    <x v="1"/>
    <n v="259000000"/>
    <x v="155"/>
    <x v="221"/>
    <s v="https://www.jbic.go.jp/en/information/press/press-2011/0227-7295"/>
    <x v="33"/>
    <x v="1"/>
    <x v="2"/>
    <x v="176"/>
    <m/>
    <m/>
    <m/>
    <n v="0"/>
    <n v="0"/>
    <n v="6.5"/>
    <m/>
    <m/>
    <m/>
  </r>
  <r>
    <x v="11"/>
    <x v="22"/>
    <x v="1"/>
    <n v="619000000"/>
    <x v="156"/>
    <x v="222"/>
    <s v="http://www.jbic.go.jp/en/information/press/press-2011/0307-7297"/>
    <x v="55"/>
    <x v="1"/>
    <x v="2"/>
    <x v="177"/>
    <m/>
    <m/>
    <m/>
    <n v="0"/>
    <n v="0"/>
    <n v="35"/>
    <m/>
    <m/>
    <m/>
  </r>
  <r>
    <x v="11"/>
    <x v="22"/>
    <x v="1"/>
    <n v="169400000"/>
    <x v="157"/>
    <x v="223"/>
    <s v="https://www.jbic.go.jp/en/information/press/press-2011/0330-7307"/>
    <x v="56"/>
    <x v="1"/>
    <x v="2"/>
    <x v="178"/>
    <m/>
    <m/>
    <m/>
    <n v="0"/>
    <n v="0"/>
    <n v="3.6"/>
    <m/>
    <m/>
    <m/>
  </r>
  <r>
    <x v="11"/>
    <x v="5"/>
    <x v="0"/>
    <n v="31284"/>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11"/>
    <x v="21"/>
    <x v="1"/>
    <n v="144990826.75584"/>
    <x v="158"/>
    <x v="224"/>
    <s v="http://nexi.go.jp/topics/en/newsrelease/004421.html"/>
    <x v="39"/>
    <x v="2"/>
    <x v="4"/>
    <x v="179"/>
    <m/>
    <s v="http://www.allenovery.com/news/en-gb/articles/Pages/USD1-4bn-project-financing-of-the-Jorf-Lasfar-power-plant-expansion.aspx"/>
    <n v="233.33"/>
    <n v="0.26554651053422701"/>
    <n v="10.62186042136908"/>
    <m/>
    <s v="700 MW plant shared by JIBC, NEXI, and KEXIM (non G-7, still part of OECD data)"/>
    <m/>
    <m/>
  </r>
  <r>
    <x v="11"/>
    <x v="22"/>
    <x v="1"/>
    <n v="216000000"/>
    <x v="159"/>
    <x v="225"/>
    <s v="https://www.jbic.go.jp/en/information/press/press-2012/0621-7419"/>
    <x v="39"/>
    <x v="2"/>
    <x v="4"/>
    <x v="179"/>
    <s v="Unit 5 in December 2013 and Unit 6 in April 2014."/>
    <s v="http://sekitan.jp/jbic/wp-content/uploads/2014/01/Lists-of-Approved-Coal-Investments-by-JBIC-April-2015.pdf_x000a_http://www.jlec.ma/en/jlec.aspx?m=6&amp;r=93 "/>
    <n v="233.33"/>
    <n v="0.26554651053422701"/>
    <n v="10.62186042136908"/>
    <m/>
    <s v="700 MW plant shared by JIBC, NEXI, and KEXIM (non G-7, still part of OECD data)"/>
    <m/>
    <m/>
  </r>
  <r>
    <x v="11"/>
    <x v="21"/>
    <x v="1"/>
    <n v="200000000"/>
    <x v="160"/>
    <x v="226"/>
    <s v="http://www.nexi.go.jp/topics/en/newsrelease/004467.html"/>
    <x v="28"/>
    <x v="2"/>
    <x v="4"/>
    <x v="180"/>
    <m/>
    <m/>
    <m/>
    <n v="0"/>
    <n v="0"/>
    <m/>
    <m/>
    <m/>
    <m/>
  </r>
  <r>
    <x v="11"/>
    <x v="6"/>
    <x v="0"/>
    <n v="11114301.9004764"/>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1"/>
    <x v="22"/>
    <x v="1"/>
    <n v="289946268.55040002"/>
    <x v="161"/>
    <x v="227"/>
    <s v="https://www.jbic.go.jp/en/information/press/press-2012/0815-7432"/>
    <x v="33"/>
    <x v="2"/>
    <x v="4"/>
    <x v="181"/>
    <s v="Valued as 20% of the Byerwen coal project value of $1.76 billion AUD, see._x000a_The Byerwen Coal mine will produce 10 Mtpa. This acquisition of interest will provide a long term off-take contract of up to 2 Mtpa of coal per year for 10 years."/>
    <s v="http://www.jbic.go.jp/en/about/press/2012/0815-01/index.html_x000a_www.dsdip.qld.gov.au/assessments-and-approvals/byerwen-coal-project.html"/>
    <m/>
    <n v="0"/>
    <n v="0"/>
    <n v="2"/>
    <m/>
    <m/>
    <m/>
  </r>
  <r>
    <x v="11"/>
    <x v="22"/>
    <x v="1"/>
    <n v="261000000"/>
    <x v="162"/>
    <x v="228"/>
    <s v="https://www.jbic.go.jp/en/information/press/press-2012/0828-7438"/>
    <x v="56"/>
    <x v="2"/>
    <x v="4"/>
    <x v="182"/>
    <m/>
    <m/>
    <m/>
    <n v="0"/>
    <n v="0"/>
    <n v="10"/>
    <m/>
    <m/>
    <m/>
  </r>
  <r>
    <x v="11"/>
    <x v="22"/>
    <x v="1"/>
    <n v="302374294.84829998"/>
    <x v="163"/>
    <x v="229"/>
    <s v="http://www.jbic.go.jp/en/information/press/press-2012/0829-7439"/>
    <x v="33"/>
    <x v="2"/>
    <x v="4"/>
    <x v="183"/>
    <s v="Two loans: (1) 147 million Australian dollars; and (2) 150 million U.S. dollars. Source for mine size included."/>
    <s v="http://www.aquilaresources.com.au/files/MiningNews%20130720121.pdf"/>
    <m/>
    <n v="0"/>
    <n v="0"/>
    <n v="2.8"/>
    <m/>
    <m/>
    <m/>
  </r>
  <r>
    <x v="11"/>
    <x v="21"/>
    <x v="1"/>
    <n v="937000000"/>
    <x v="156"/>
    <x v="230"/>
    <s v="http://www.nexi.go.jp/topics/newsrelease/004598.html"/>
    <x v="55"/>
    <x v="2"/>
    <x v="4"/>
    <x v="184"/>
    <s v="Coal mine size: 30-40 Mtpa,  696 million USD+241 million USD"/>
    <s v="http://www.itochu.co.jp/ja/ir/doc/presentation/pdf/ITC110617.pdf"/>
    <m/>
    <n v="0"/>
    <n v="0"/>
    <n v="35"/>
    <m/>
    <m/>
    <m/>
  </r>
  <r>
    <x v="11"/>
    <x v="0"/>
    <x v="0"/>
    <n v="28501480.597912937"/>
    <x v="11"/>
    <x v="23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11"/>
    <x v="22"/>
    <x v="1"/>
    <n v="1473932460"/>
    <x v="164"/>
    <x v="232"/>
    <s v="http://www.jbic.go.jp/en/information/press/press-2012/0327-7392"/>
    <x v="33"/>
    <x v="2"/>
    <x v="4"/>
    <x v="185"/>
    <m/>
    <m/>
    <m/>
    <n v="0"/>
    <n v="0"/>
    <n v="5.5"/>
    <m/>
    <m/>
    <m/>
  </r>
  <r>
    <x v="11"/>
    <x v="23"/>
    <x v="2"/>
    <n v="18371826"/>
    <x v="165"/>
    <x v="233"/>
    <s v="http://www.jica.go.jp/english/news/press/2012/130328_02.html"/>
    <x v="16"/>
    <x v="2"/>
    <x v="4"/>
    <x v="186"/>
    <m/>
    <s v="http://www.jica.go.jp/english/our_work/social_environmental/id/asia/southeast/indonesia_a02.htmlJICA Website"/>
    <n v="990"/>
    <n v="1.1266920045809998"/>
    <n v="45.067680183239993"/>
    <m/>
    <m/>
    <m/>
    <m/>
  </r>
  <r>
    <x v="11"/>
    <x v="21"/>
    <x v="1"/>
    <n v="250000000"/>
    <x v="166"/>
    <x v="234"/>
    <s v="http://www.nexi.go.jp/topics/en/newsrelease/004735.html"/>
    <x v="1"/>
    <x v="2"/>
    <x v="4"/>
    <x v="186"/>
    <m/>
    <m/>
    <n v="236"/>
    <n v="0.26858516472839999"/>
    <n v="10.743406589136001"/>
    <m/>
    <s v="472 MW plant in total. Shared between JBIC &amp; NEXI"/>
    <m/>
    <m/>
  </r>
  <r>
    <x v="11"/>
    <x v="22"/>
    <x v="1"/>
    <n v="500000000"/>
    <x v="167"/>
    <x v="234"/>
    <s v="http://www.jbic.go.jp/en/information/press/press-2012/0328-7393"/>
    <x v="1"/>
    <x v="2"/>
    <x v="4"/>
    <x v="186"/>
    <s v="Bank group finances Chile's Cochrane power project. (2013). Trade Finance, 16(3), 18."/>
    <s v="http://sekitan.jp/jbic/wp-content/uploads/2014/01/Lists-of-Approved-Coal-Investments-by-JBIC-April-2015.pdf"/>
    <n v="236"/>
    <n v="0.26858516472839999"/>
    <n v="10.743406589136001"/>
    <m/>
    <s v="472 MW plant in total. Shared between JBIC &amp; NEXI"/>
    <m/>
    <m/>
  </r>
  <r>
    <x v="11"/>
    <x v="22"/>
    <x v="1"/>
    <n v="350000000"/>
    <x v="168"/>
    <x v="235"/>
    <s v="https://www.jbic.go.jp/en/information/press/press-2013/0516-7513"/>
    <x v="33"/>
    <x v="2"/>
    <x v="4"/>
    <x v="187"/>
    <m/>
    <m/>
    <m/>
    <n v="0"/>
    <n v="0"/>
    <n v="6.9"/>
    <m/>
    <m/>
    <m/>
  </r>
  <r>
    <x v="11"/>
    <x v="21"/>
    <x v="1"/>
    <n v="56000000"/>
    <x v="169"/>
    <x v="236"/>
    <s v="http://www.jbic.go.jp/en/information/press/press-2013/0822-7553"/>
    <x v="24"/>
    <x v="0"/>
    <x v="0"/>
    <x v="188"/>
    <m/>
    <m/>
    <n v="400"/>
    <n v="0.45522909276000001"/>
    <n v="18.209163710399999"/>
    <m/>
    <s v="1200 MW Plant, split between JBIC, NEXI, and NEXIM (non G7 but still included in OECD data)"/>
    <m/>
    <m/>
  </r>
  <r>
    <x v="11"/>
    <x v="22"/>
    <x v="1"/>
    <n v="85000000"/>
    <x v="170"/>
    <x v="236"/>
    <s v="http://www.jbic.go.jp/en/information/press/press-2013/0822-7553"/>
    <x v="24"/>
    <x v="0"/>
    <x v="0"/>
    <x v="188"/>
    <m/>
    <s v="http://sekitan.jp/jbic/wp-content/uploads/2014/01/Lists-of-Approved-Coal-Investments-by-JBIC-April-2015.pdf_x000a_https://www.jetro.go.jp/world/asia/vn/petrovietnam/pdf/201109_II-1.pdf"/>
    <n v="400"/>
    <n v="0.45522909276000001"/>
    <n v="18.209163710399999"/>
    <m/>
    <s v="1200 MW Plant, split between JBIC, NEXI, and NEXIM (non G7 but still included in OECD data)"/>
    <m/>
    <m/>
  </r>
  <r>
    <x v="11"/>
    <x v="23"/>
    <x v="2"/>
    <n v="42010000"/>
    <x v="10"/>
    <x v="237"/>
    <s v="http://www.exim.gov/newsandevents/boardmeetings/board/boardmeeting-agenda.cfm?pageID=37064"/>
    <x v="9"/>
    <x v="0"/>
    <x v="1"/>
    <x v="189"/>
    <s v="(iii) Tender announcement of initial procurement package for international competitive bidding on project construction:_x000a_Procurement package titles: Installation of Turbine Governor and Distributed Control System, Installation of Boiler Soot Blower and Mill Roller of Pulverized Coal Firing Equipment"/>
    <m/>
    <n v="540"/>
    <n v="0.61455927522599996"/>
    <n v="24.582371009039999"/>
    <m/>
    <m/>
    <m/>
    <m/>
  </r>
  <r>
    <x v="11"/>
    <x v="21"/>
    <x v="1"/>
    <n v="140000000"/>
    <x v="171"/>
    <x v="238"/>
    <s v="http://www.jbic.go.jp/en/information/press/press-2013/0127-17508"/>
    <x v="4"/>
    <x v="0"/>
    <x v="0"/>
    <x v="190"/>
    <m/>
    <m/>
    <n v="1200"/>
    <n v="1.36568727828"/>
    <n v="54.627491131200003"/>
    <m/>
    <m/>
    <m/>
    <m/>
  </r>
  <r>
    <x v="11"/>
    <x v="22"/>
    <x v="1"/>
    <n v="210000000"/>
    <x v="172"/>
    <x v="238"/>
    <s v="http://www.jbic.go.jp/en/information/press/press-2013/0127-17508"/>
    <x v="4"/>
    <x v="0"/>
    <x v="0"/>
    <x v="190"/>
    <m/>
    <s v="http://sekitan.jp/jbic/wp-content/uploads/2014/01/Lists-of-Approved-Coal-Investments-by-JBIC-April-2015.pdf"/>
    <n v="1200"/>
    <n v="1.36568727828"/>
    <n v="54.627491131200003"/>
    <m/>
    <s v="Loan agreement with two facilities amounting up to approximately 155 million U.S. dollars, (JBIC portion) and  approximately 55 million U.S. dollars (JBIC portion), respectively with the NTPC Limited (&quot;NTPC&quot;)"/>
    <m/>
    <m/>
  </r>
  <r>
    <x v="11"/>
    <x v="23"/>
    <x v="2"/>
    <n v="406680400"/>
    <x v="173"/>
    <x v="239"/>
    <s v="http://www.jica.go.jp/english/news/press/2014/140616_02.html"/>
    <x v="23"/>
    <x v="3"/>
    <x v="6"/>
    <x v="191"/>
    <s v=" ultra-super critical technology"/>
    <m/>
    <n v="1200"/>
    <n v="1.36568727828"/>
    <n v="54.627491131200003"/>
    <m/>
    <m/>
    <m/>
    <m/>
  </r>
  <r>
    <x v="11"/>
    <x v="1"/>
    <x v="0"/>
    <n v="1778707.0845503483"/>
    <x v="62"/>
    <x v="68"/>
    <s v="http://www.ebrd.com/work-with-us/projects/psd/eps-restructuring.html"/>
    <x v="34"/>
    <x v="2"/>
    <x v="4"/>
    <x v="66"/>
    <s v="Total Financing - $150 mil loan. As stated on the World Bank website under 'Details' - 'Sectors': Coal Mining - 7%. Amount included is $150 mil * .07 =$21,00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No link to coal. Wrong sector coding. There is no coal or coal mining in Cote D’Ivoire. "/>
    <s v="http://www.worldbank.org/projects/P122800/ci-egrg-econ-gov-recovery-4?lang=en&amp;tab=overview"/>
    <m/>
    <n v="0"/>
    <n v="0"/>
    <m/>
    <s v="WBG"/>
    <s v="Status: Closed"/>
    <m/>
  </r>
  <r>
    <x v="11"/>
    <x v="6"/>
    <x v="0"/>
    <n v="1600209.6172692885"/>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1"/>
    <x v="21"/>
    <x v="1"/>
    <n v="135000000"/>
    <x v="174"/>
    <x v="204"/>
    <s v="http://www.jbic.go.jp/en/information/press/press-2014/0717-25305"/>
    <x v="24"/>
    <x v="0"/>
    <x v="0"/>
    <x v="192"/>
    <m/>
    <m/>
    <n v="600"/>
    <n v="0.68284363914000001"/>
    <n v="27.313745565600001"/>
    <m/>
    <s v="1200 MW plant financed by JBIC and NEXI"/>
    <m/>
    <m/>
  </r>
  <r>
    <x v="11"/>
    <x v="22"/>
    <x v="1"/>
    <n v="202000000"/>
    <x v="35"/>
    <x v="204"/>
    <s v="http://www.jbic.go.jp/en/information/press/press-2014/0717-25305"/>
    <x v="24"/>
    <x v="0"/>
    <x v="0"/>
    <x v="192"/>
    <m/>
    <s v="http://sekitan.jp/jbic/wp-content/uploads/2014/01/Lists-of-Approved-Coal-Investments-by-JBIC-April-2015.pdf_x000a_http://www.sourcewatch.org/index.php/Vinh_Tan_power_station"/>
    <n v="600"/>
    <n v="0.68284363914000001"/>
    <n v="27.313745565600001"/>
    <m/>
    <s v="1200 MW plant financed by JBIC and NEXI"/>
    <m/>
    <m/>
  </r>
  <r>
    <x v="11"/>
    <x v="0"/>
    <x v="0"/>
    <n v="1140059.2239165176"/>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1"/>
    <x v="22"/>
    <x v="1"/>
    <n v="89063400"/>
    <x v="175"/>
    <x v="240"/>
    <s v="https://www.jbic.go.jp/en/information/press/press-2014/0902-28881"/>
    <x v="4"/>
    <x v="0"/>
    <x v="0"/>
    <x v="193"/>
    <m/>
    <s v="http://www.sourcewatch.org/index.php/Meja_Thermal_Power_Project#cite_note-ip-4_x000a_http://sekitan.jp/jbic/wp-content/uploads/2014/01/Lists-of-Approved-Coal-Investments-by-JBIC-April-2015.pdf"/>
    <n v="660"/>
    <n v="0.75112800305400007"/>
    <n v="30.045120122160004"/>
    <m/>
    <s v="Loan agreement to set up an export credit line amounting up to approximately JPY8.1 billion (JBIC portion) and approximately USD12 million (JBIC portion); Super critical pressure coal-fired power plant (660 MW × 2 units) in Meja, Uttar Pradesh Province located in the northern India"/>
    <m/>
    <m/>
  </r>
  <r>
    <x v="11"/>
    <x v="21"/>
    <x v="1"/>
    <n v="851375600"/>
    <x v="174"/>
    <x v="241"/>
    <s v="http://nexi.go.jp/topics/newsrelease/005256.html"/>
    <x v="4"/>
    <x v="0"/>
    <x v="0"/>
    <x v="193"/>
    <m/>
    <s v="http://sekitan.jp/jbic/wp-content/uploads/2015/02/jbiccoallisten.pdf"/>
    <n v="660"/>
    <n v="0.75112800305400007"/>
    <n v="30.045120122160004"/>
    <m/>
    <m/>
    <m/>
    <m/>
  </r>
  <r>
    <x v="11"/>
    <x v="1"/>
    <x v="0"/>
    <n v="635252.53019655298"/>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1"/>
    <x v="0"/>
    <x v="0"/>
    <n v="9308583.5632783659"/>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1"/>
    <x v="22"/>
    <x v="1"/>
    <n v="906675800"/>
    <x v="176"/>
    <x v="242"/>
    <s v="https://www.jbic.go.jp/en/information/press/press-2014/0919-29158"/>
    <x v="39"/>
    <x v="0"/>
    <x v="0"/>
    <x v="194"/>
    <s v="http://www.sourcewatch.org/index.php/Safi_power_station Loan agreements, in project financing, totaling up to approximately USD718 million and EUR147 million (JBIC portions) - Ultra Super Critical Coal-fired Power Plant"/>
    <s v="http://sekitan.jp/jbic/wp-content/uploads/2014/01/Lists-of-Approved-Coal-Investments-by-JBIC-April-2015.pdf"/>
    <n v="693"/>
    <n v="0.78868440320669986"/>
    <n v="31.547376128267995"/>
    <m/>
    <s v="1386 MW plant shared by JBIC and NEXI"/>
    <m/>
    <m/>
  </r>
  <r>
    <x v="11"/>
    <x v="21"/>
    <x v="1"/>
    <n v="483630308.00000006"/>
    <x v="177"/>
    <x v="243"/>
    <s v="http://nexi.go.jp/topics/newsrelease/005476.html"/>
    <x v="39"/>
    <x v="0"/>
    <x v="0"/>
    <x v="195"/>
    <m/>
    <m/>
    <n v="693"/>
    <n v="0.78868440320669986"/>
    <n v="31.547376128267995"/>
    <m/>
    <s v="1386 MW plant shared by JBIC and NEXI"/>
    <m/>
    <m/>
  </r>
  <r>
    <x v="11"/>
    <x v="23"/>
    <x v="2"/>
    <n v="307397175.64959997"/>
    <x v="136"/>
    <x v="244"/>
    <s v="http://www.jica.go.jp/english/news/press/2014/150130_01.html"/>
    <x v="24"/>
    <x v="0"/>
    <x v="0"/>
    <x v="196"/>
    <m/>
    <m/>
    <n v="600"/>
    <n v="0.68284363914000001"/>
    <n v="27.313745565600001"/>
    <m/>
    <s v="Yes"/>
    <m/>
    <m/>
  </r>
  <r>
    <x v="11"/>
    <x v="21"/>
    <x v="1"/>
    <n v="274000000"/>
    <x v="35"/>
    <x v="245"/>
    <s v="http://www.jbic.go.jp/en/information/press/press-2014/0331-37582"/>
    <x v="24"/>
    <x v="0"/>
    <x v="13"/>
    <x v="103"/>
    <s v="USD 274 million (project description indicates NEXI cover applies to only portion financed by private institutions, so given total financed amount of $683 million, minus JBIC portion of $409 million, NEXI coverage would be for $274 million)"/>
    <s v="http://www.jbic.go.jp/en/information/press/press-2014/0331-37582JAECES Data"/>
    <n v="344"/>
    <n v="0.39149701977360002"/>
    <n v="15.659880790944001"/>
    <m/>
    <s v="688MW plant shared by NEXI and JBIC"/>
    <s v="Construction"/>
    <m/>
  </r>
  <r>
    <x v="11"/>
    <x v="22"/>
    <x v="1"/>
    <n v="409910000"/>
    <x v="35"/>
    <x v="245"/>
    <s v="http://www.jbic.go.jp/en/information/press/press-2014/0331-37582"/>
    <x v="24"/>
    <x v="0"/>
    <x v="13"/>
    <x v="103"/>
    <s v="The loan is intended to finance EVN's purchase of a whole set of machineries and equipment including steam turbines and generators (manufactured by TOSHIBA CORPORATION) by engineering, procurement and construction (&quot;EPC&quot;) basis from SUMITOMO CORPORATION for a super critical coal-fired power plant (688 MW x 1 unit) to be built in the Duyen Hai district, Tra Vinh Province, in the southern part of Vietnam._x000a_"/>
    <s v="http://sekitan.jp/jbic/wp-content/uploads/2014/01/Lists-of-Approved-Coal-Investments-by-JBIC-April-2015.pdf"/>
    <n v="344"/>
    <n v="0.39149701977360002"/>
    <n v="15.659880790944001"/>
    <m/>
    <s v="688MW plant shared by NEXI and JBIC"/>
    <s v="Construction"/>
    <m/>
  </r>
  <r>
    <x v="11"/>
    <x v="23"/>
    <x v="2"/>
    <n v="78412530"/>
    <x v="136"/>
    <x v="246"/>
    <s v="http://www.jica.go.jp/english/news/press/2015/150706_01.html"/>
    <x v="24"/>
    <x v="0"/>
    <x v="0"/>
    <x v="197"/>
    <m/>
    <s v="http://www.jica.go.jp/english/news/press/2015/150706_01.html"/>
    <m/>
    <n v="0"/>
    <n v="0"/>
    <m/>
    <s v="MW figures not included here to avoid duplication, since this is the third of three loans for the same project. Same project as Thai Binh Thermal Power Plant and Transmission Lines Construction Project (II), but the third tranche."/>
    <m/>
    <m/>
  </r>
  <r>
    <x v="11"/>
    <x v="23"/>
    <x v="2"/>
    <n v="429731482"/>
    <x v="173"/>
    <x v="247"/>
    <s v="http://www.jica.go.jp/english/news/press/2015/151214_01.html"/>
    <x v="23"/>
    <x v="3"/>
    <x v="23"/>
    <x v="198"/>
    <s v="43,769 million yen"/>
    <s v="http://energybangla.com/ecnec-approves-dhaka-chittagong-main-power-grid-project/"/>
    <m/>
    <m/>
    <m/>
    <m/>
    <m/>
    <m/>
    <m/>
  </r>
  <r>
    <x v="11"/>
    <x v="5"/>
    <x v="0"/>
    <n v="18770400"/>
    <x v="49"/>
    <x v="54"/>
    <m/>
    <x v="5"/>
    <x v="0"/>
    <x v="1"/>
    <x v="52"/>
    <s v="ADB Project 43906-014: Source of Funding - ADB LIBOR Based Loan. CFB subcritical "/>
    <m/>
    <n v="15.384615384615385"/>
    <n v="1.750881126E-2"/>
    <n v="0.70035245040000005"/>
    <m/>
    <m/>
    <m/>
    <m/>
  </r>
  <r>
    <x v="11"/>
    <x v="3"/>
    <x v="0"/>
    <n v="10942857.707319543"/>
    <x v="14"/>
    <x v="15"/>
    <m/>
    <x v="12"/>
    <x v="2"/>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11"/>
    <x v="23"/>
    <x v="2"/>
    <n v="513793385"/>
    <x v="20"/>
    <x v="248"/>
    <s v=" _x000a_http://www.jica.go.jp/english/news/press/2015/151218_01.html"/>
    <x v="16"/>
    <x v="3"/>
    <x v="23"/>
    <x v="199"/>
    <m/>
    <m/>
    <m/>
    <m/>
    <m/>
    <m/>
    <m/>
    <m/>
    <m/>
  </r>
  <r>
    <x v="11"/>
    <x v="6"/>
    <x v="0"/>
    <n v="7083687.3926617727"/>
    <x v="50"/>
    <x v="55"/>
    <s v="http://www.ebrd.com/work-with-us/projects/psd/tgk13-capacity-financing-.html"/>
    <x v="28"/>
    <x v="0"/>
    <x v="1"/>
    <x v="53"/>
    <m/>
    <m/>
    <n v="15.416666666666666"/>
    <n v="1.7545287950124999E-2"/>
    <n v="0.70181151800499997"/>
    <m/>
    <m/>
    <m/>
    <m/>
  </r>
  <r>
    <x v="11"/>
    <x v="3"/>
    <x v="0"/>
    <n v="61553574.603672422"/>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11"/>
    <x v="4"/>
    <x v="0"/>
    <n v="30021552.000000004"/>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1"/>
    <x v="1"/>
    <x v="0"/>
    <n v="1024874.0820504389"/>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1"/>
    <x v="0"/>
    <x v="0"/>
    <n v="1773425.4594256938"/>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1"/>
    <x v="0"/>
    <x v="0"/>
    <n v="2881816.3715667524"/>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1"/>
    <x v="1"/>
    <x v="0"/>
    <n v="16940067.471908081"/>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1"/>
    <x v="1"/>
    <x v="0"/>
    <n v="23716.094460671313"/>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1"/>
    <x v="5"/>
    <x v="0"/>
    <n v="2111670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11"/>
    <x v="6"/>
    <x v="0"/>
    <n v="2907811.5437292908"/>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1"/>
    <x v="6"/>
    <x v="0"/>
    <n v="2446869.5656862771"/>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1"/>
    <x v="4"/>
    <x v="0"/>
    <n v="45144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2"/>
    <x v="0"/>
    <x v="0"/>
    <n v="5948890.0484102322"/>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2"/>
    <x v="1"/>
    <x v="0"/>
    <n v="6354.7589810593818"/>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2"/>
    <x v="1"/>
    <x v="0"/>
    <n v="23830.346178972683"/>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2"/>
    <x v="4"/>
    <x v="0"/>
    <n v="1638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12"/>
    <x v="0"/>
    <x v="0"/>
    <n v="297444.50242051162"/>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2"/>
    <x v="6"/>
    <x v="0"/>
    <n v="170967.90756173379"/>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2"/>
    <x v="6"/>
    <x v="0"/>
    <n v="162610.57353999789"/>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2"/>
    <x v="4"/>
    <x v="0"/>
    <n v="91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12"/>
    <x v="0"/>
    <x v="0"/>
    <n v="553246.77450215165"/>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2"/>
    <x v="4"/>
    <x v="0"/>
    <n v="26936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2"/>
    <x v="6"/>
    <x v="0"/>
    <n v="23916.223143537329"/>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2"/>
    <x v="1"/>
    <x v="0"/>
    <n v="11347.783894748896"/>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2"/>
    <x v="4"/>
    <x v="0"/>
    <n v="1638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2"/>
    <x v="6"/>
    <x v="0"/>
    <n v="28173.343688579615"/>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2"/>
    <x v="0"/>
    <x v="0"/>
    <n v="8804357.2716471441"/>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2"/>
    <x v="6"/>
    <x v="0"/>
    <n v="84456.594252327966"/>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2"/>
    <x v="6"/>
    <x v="0"/>
    <n v="106522.06078612697"/>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12"/>
    <x v="1"/>
    <x v="0"/>
    <n v="62412.811421118931"/>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2"/>
    <x v="6"/>
    <x v="0"/>
    <n v="303377.93570895126"/>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2"/>
    <x v="2"/>
    <x v="0"/>
    <n v="10165453.55286343"/>
    <x v="3"/>
    <x v="3"/>
    <s v="http://www.shiftthesubsidies.org/projects/713"/>
    <x v="3"/>
    <x v="0"/>
    <x v="0"/>
    <x v="3"/>
    <m/>
    <m/>
    <n v="60"/>
    <n v="6.8284363914000015E-2"/>
    <n v="2.7313745565600005"/>
    <m/>
    <m/>
    <m/>
    <m/>
  </r>
  <r>
    <x v="12"/>
    <x v="2"/>
    <x v="0"/>
    <n v="3457637.2628787174"/>
    <x v="4"/>
    <x v="4"/>
    <s v="http://www.shiftthesubsidies.org/projects/707"/>
    <x v="3"/>
    <x v="0"/>
    <x v="0"/>
    <x v="3"/>
    <m/>
    <m/>
    <n v="30"/>
    <n v="3.4142181957000008E-2"/>
    <n v="1.3656872782800002"/>
    <m/>
    <m/>
    <m/>
    <m/>
  </r>
  <r>
    <x v="12"/>
    <x v="0"/>
    <x v="0"/>
    <n v="95182.240774563717"/>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2"/>
    <x v="0"/>
    <x v="0"/>
    <n v="3271889.5266256277"/>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2"/>
    <x v="6"/>
    <x v="0"/>
    <n v="44293.178613506891"/>
    <x v="38"/>
    <x v="44"/>
    <s v="http://www.ebrd.com/work-with-us/projects/psd/mak.html"/>
    <x v="9"/>
    <x v="1"/>
    <x v="2"/>
    <x v="42"/>
    <s v="Expansion of Eldev coal mine. Mongolyn Alt Corporation (‘MAK’ or the ‘Company’), a medium-sized Mongolian mining company producing coal"/>
    <m/>
    <m/>
    <n v="0"/>
    <n v="0"/>
    <m/>
    <s v="Yes"/>
    <m/>
    <m/>
  </r>
  <r>
    <x v="12"/>
    <x v="1"/>
    <x v="0"/>
    <n v="63831.284407962543"/>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2"/>
    <x v="6"/>
    <x v="0"/>
    <n v="120389.11734275708"/>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12"/>
    <x v="6"/>
    <x v="0"/>
    <m/>
    <x v="42"/>
    <x v="48"/>
    <s v="http://www.ebrd.com/work-with-us/projects/psd/oltenia---turceni-rehabilitation.html"/>
    <x v="29"/>
    <x v="0"/>
    <x v="1"/>
    <x v="37"/>
    <m/>
    <m/>
    <m/>
    <n v="0"/>
    <n v="0"/>
    <m/>
    <s v="Financing for the rehabilitation and modernisation of unit 6 of CET Oltenia’s Turceni lignite fired power plant"/>
    <s v="CANCELLED"/>
    <m/>
  </r>
  <r>
    <x v="12"/>
    <x v="6"/>
    <x v="0"/>
    <n v="81912.042641416847"/>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12"/>
    <x v="6"/>
    <x v="0"/>
    <n v="52083.924002512758"/>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2"/>
    <x v="4"/>
    <x v="0"/>
    <n v="3449446"/>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2"/>
    <x v="6"/>
    <x v="0"/>
    <n v="195678.76853227356"/>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2"/>
    <x v="0"/>
    <x v="0"/>
    <n v="5354001.0435692091"/>
    <x v="11"/>
    <x v="11"/>
    <s v="https://ijglobal.com/data/transaction/17705/mundra-umpp"/>
    <x v="4"/>
    <x v="0"/>
    <x v="0"/>
    <x v="9"/>
    <s v="The proposed investment by IFC is an A Loan of up to $450 million. IFC is also considering investing up to $50 million in equity as part of its exposure to the project. Additionally, IFC and CGPL are exploring the possibility of syndicating up to about $300 million in B loans for the project. This is financing to construct, operate, and maintain 4,000 MW coal-fired power in five units of 800 MW each on a build-own-operate basis, incorporating supercritical technology to significantly in reducing future power shortages in the country. _x000a__x000a_Bank response: Supercritical coal technology (higher efficiency and lower carbon dioxide emissions)"/>
    <s v="http://ifcext.ifc.org/ifcext/spiwebsite1.nsf/78e3b305216fcdba85257a8b0075079d/eab8e042d643a6ec852576ba000e2b15?opendocument"/>
    <n v="66.666666666666657"/>
    <n v="7.5871515459999983E-2"/>
    <n v="3.0348606183999993"/>
    <m/>
    <m/>
    <m/>
    <m/>
  </r>
  <r>
    <x v="12"/>
    <x v="0"/>
    <x v="0"/>
    <n v="214160.04174276837"/>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2"/>
    <x v="1"/>
    <x v="0"/>
    <n v="42554.189605308362"/>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2"/>
    <x v="0"/>
    <x v="0"/>
    <n v="1748616.7408297036"/>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2"/>
    <x v="6"/>
    <x v="0"/>
    <n v="124715.63559059278"/>
    <x v="50"/>
    <x v="55"/>
    <s v="http://www.ebrd.com/work-with-us/projects/psd/tgk13-capacity-financing-.html"/>
    <x v="28"/>
    <x v="0"/>
    <x v="1"/>
    <x v="53"/>
    <m/>
    <m/>
    <n v="15.416666666666666"/>
    <n v="1.7545287950124999E-2"/>
    <n v="0.70181151800499997"/>
    <m/>
    <m/>
    <m/>
    <m/>
  </r>
  <r>
    <x v="12"/>
    <x v="1"/>
    <x v="0"/>
    <n v="119151.73089486342"/>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2"/>
    <x v="1"/>
    <x v="0"/>
    <n v="68654.092563230821"/>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2"/>
    <x v="0"/>
    <x v="0"/>
    <n v="333137.842710973"/>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2"/>
    <x v="0"/>
    <x v="0"/>
    <n v="541348.99440533121"/>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2"/>
    <x v="1"/>
    <x v="0"/>
    <n v="1134778.3894748897"/>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2"/>
    <x v="1"/>
    <x v="0"/>
    <n v="1588.6897452648454"/>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2"/>
    <x v="6"/>
    <x v="0"/>
    <n v="51195.026650885527"/>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2"/>
    <x v="6"/>
    <x v="0"/>
    <n v="43079.666870671084"/>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2"/>
    <x v="4"/>
    <x v="0"/>
    <n v="5187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3"/>
    <x v="0"/>
    <x v="0"/>
    <n v="20039996.991652615"/>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3"/>
    <x v="1"/>
    <x v="0"/>
    <n v="3703.5919211303649"/>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3"/>
    <x v="1"/>
    <x v="0"/>
    <n v="13888.469704238869"/>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3"/>
    <x v="0"/>
    <x v="0"/>
    <n v="1001999.8495826308"/>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3"/>
    <x v="6"/>
    <x v="0"/>
    <n v="4560334.3803702816"/>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3"/>
    <x v="24"/>
    <x v="2"/>
    <n v="20000000"/>
    <x v="178"/>
    <x v="249"/>
    <s v="http://www.sourcewatch.org/index.php/Ulaanbaatar_Thermal_Power_Plant_No._4"/>
    <x v="9"/>
    <x v="0"/>
    <x v="11"/>
    <x v="200"/>
    <m/>
    <s v=" _x000a_http://www.veb.ru/en/press/news/?id_19=100787&amp;filter_year_20=2015&amp;from_20=8 http://veb.ru/common/upload/files/veb/reports/annual/VEB_Annual_2015_eng.pdf (pp. 19 &amp; 35)"/>
    <m/>
    <n v="0"/>
    <n v="0"/>
    <m/>
    <m/>
    <s v="new"/>
    <m/>
  </r>
  <r>
    <x v="13"/>
    <x v="6"/>
    <x v="0"/>
    <n v="4337413.9609120339"/>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3"/>
    <x v="6"/>
    <x v="0"/>
    <n v="1084335.426400688"/>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3"/>
    <x v="0"/>
    <x v="0"/>
    <n v="1863719.7202236932"/>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3"/>
    <x v="4"/>
    <x v="0"/>
    <n v="88208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3"/>
    <x v="6"/>
    <x v="0"/>
    <n v="637932.44127234048"/>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3"/>
    <x v="1"/>
    <x v="0"/>
    <n v="6613.5570020185087"/>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3"/>
    <x v="4"/>
    <x v="0"/>
    <n v="5364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3"/>
    <x v="6"/>
    <x v="0"/>
    <n v="751485.29139379947"/>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3"/>
    <x v="4"/>
    <x v="0"/>
    <n v="11295988"/>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3"/>
    <x v="0"/>
    <x v="0"/>
    <n v="29659195.547645871"/>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3"/>
    <x v="4"/>
    <x v="0"/>
    <n v="5364000"/>
    <x v="17"/>
    <x v="19"/>
    <s v="http://www.worldbank.org/projects/P100101/coal-fired-generation-rehabilitation?lang=en&amp;tab=overview"/>
    <x v="4"/>
    <x v="0"/>
    <x v="1"/>
    <x v="17"/>
    <m/>
    <m/>
    <n v="22.105263157894736"/>
    <n v="2.5157397231473682E-2"/>
    <n v="1.0062958892589473"/>
    <m/>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s v="Active (restructured)"/>
    <m/>
  </r>
  <r>
    <x v="13"/>
    <x v="6"/>
    <x v="0"/>
    <n v="2252763.7842137283"/>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3"/>
    <x v="6"/>
    <x v="0"/>
    <n v="2841329.8320064056"/>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13"/>
    <x v="1"/>
    <x v="0"/>
    <n v="36374.563511101798"/>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3"/>
    <x v="4"/>
    <x v="0"/>
    <n v="29800000"/>
    <x v="17"/>
    <x v="21"/>
    <s v="http://web.worldbank.org/external/projects/main?Projectid=P115566&amp;theSitePK=40941&amp;piPK=64290415&amp;pagePK=64283627&amp;menuPK=64282134&amp;Type=Overview"/>
    <x v="4"/>
    <x v="3"/>
    <x v="6"/>
    <x v="19"/>
    <m/>
    <m/>
    <m/>
    <n v="0"/>
    <n v="0"/>
    <m/>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s v="Active"/>
    <m/>
  </r>
  <r>
    <x v="13"/>
    <x v="6"/>
    <x v="0"/>
    <n v="8092190.2255821535"/>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3"/>
    <x v="0"/>
    <x v="0"/>
    <n v="320639.95186644181"/>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3"/>
    <x v="0"/>
    <x v="0"/>
    <n v="11021998.345408939"/>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3"/>
    <x v="6"/>
    <x v="0"/>
    <n v="1181459.7729349944"/>
    <x v="38"/>
    <x v="44"/>
    <s v="http://www.ebrd.com/work-with-us/projects/psd/mak.html"/>
    <x v="9"/>
    <x v="1"/>
    <x v="2"/>
    <x v="42"/>
    <s v="Expansion of Eldev coal mine. Mongolyn Alt Corporation (‘MAK’ or the ‘Company’), a medium-sized Mongolian mining company producing coal"/>
    <m/>
    <m/>
    <n v="0"/>
    <n v="0"/>
    <m/>
    <s v="Yes"/>
    <m/>
    <m/>
  </r>
  <r>
    <x v="13"/>
    <x v="1"/>
    <x v="0"/>
    <n v="37201.25813635411"/>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3"/>
    <x v="6"/>
    <x v="0"/>
    <n v="3211214.5411990066"/>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13"/>
    <x v="6"/>
    <x v="0"/>
    <m/>
    <x v="42"/>
    <x v="48"/>
    <s v="http://www.ebrd.com/work-with-us/projects/psd/oltenia---turceni-rehabilitation.html"/>
    <x v="29"/>
    <x v="0"/>
    <x v="1"/>
    <x v="37"/>
    <m/>
    <m/>
    <m/>
    <n v="0"/>
    <n v="0"/>
    <m/>
    <s v="Financing for the rehabilitation and modernisation of unit 6 of CET Oltenia’s Turceni lignite fired power plant"/>
    <s v="CANCELLED"/>
    <m/>
  </r>
  <r>
    <x v="13"/>
    <x v="6"/>
    <x v="0"/>
    <n v="2184891.3609071816"/>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13"/>
    <x v="6"/>
    <x v="0"/>
    <n v="1389267.2179279441"/>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3"/>
    <x v="0"/>
    <x v="0"/>
    <n v="18035997.292487353"/>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13"/>
    <x v="6"/>
    <x v="0"/>
    <n v="5219462.6955004893"/>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3"/>
    <x v="1"/>
    <x v="0"/>
    <n v="69442.348521194333"/>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3"/>
    <x v="1"/>
    <x v="0"/>
    <n v="40012.019862211979"/>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3"/>
    <x v="24"/>
    <x v="2"/>
    <n v="2500000000"/>
    <x v="179"/>
    <x v="250"/>
    <s v="http://www.tradefinancemagazine.com/Article/3256567/Search/Results/Update-VEB-board-approves-Mechel-project.html?Keywords=coal"/>
    <x v="28"/>
    <x v="1"/>
    <x v="2"/>
    <x v="201"/>
    <m/>
    <s v="https://tradefinanceanalytics.com/Articles/3256567/Update-VEB-board-approves-Mechel-project.html?Keywords=coal&amp;Keywords=coal"/>
    <m/>
    <n v="0"/>
    <n v="0"/>
    <n v="11.7"/>
    <m/>
    <m/>
    <m/>
  </r>
  <r>
    <x v="13"/>
    <x v="0"/>
    <x v="0"/>
    <n v="1823639.7262403879"/>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3"/>
    <x v="1"/>
    <x v="0"/>
    <n v="24800.838757569407"/>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3"/>
    <x v="0"/>
    <x v="0"/>
    <n v="5890556.71572637"/>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3"/>
    <x v="6"/>
    <x v="0"/>
    <n v="3326618.4798345673"/>
    <x v="50"/>
    <x v="55"/>
    <s v="http://www.ebrd.com/work-with-us/projects/psd/tgk13-capacity-financing-.html"/>
    <x v="28"/>
    <x v="0"/>
    <x v="1"/>
    <x v="53"/>
    <m/>
    <m/>
    <n v="15.416666666666666"/>
    <n v="1.7545287950124999E-2"/>
    <n v="0.70181151800499997"/>
    <m/>
    <m/>
    <m/>
    <m/>
  </r>
  <r>
    <x v="13"/>
    <x v="0"/>
    <x v="0"/>
    <n v="1122239.8315325466"/>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3"/>
    <x v="0"/>
    <x v="0"/>
    <n v="1823639.7262403879"/>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3"/>
    <x v="1"/>
    <x v="0"/>
    <n v="661355.70020185085"/>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3"/>
    <x v="1"/>
    <x v="0"/>
    <n v="925.89798028259122"/>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3"/>
    <x v="6"/>
    <x v="0"/>
    <n v="1365557.1005669883"/>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3"/>
    <x v="6"/>
    <x v="0"/>
    <n v="1149091.0120326658"/>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3"/>
    <x v="4"/>
    <x v="0"/>
    <n v="16986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4"/>
    <x v="0"/>
    <x v="0"/>
    <n v="9944302.7083309796"/>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4"/>
    <x v="1"/>
    <x v="0"/>
    <n v="36344.801866341702"/>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4"/>
    <x v="1"/>
    <x v="0"/>
    <n v="136293.00699878138"/>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4"/>
    <x v="4"/>
    <x v="0"/>
    <n v="5724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14"/>
    <x v="0"/>
    <x v="0"/>
    <n v="497215.13541654899"/>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4"/>
    <x v="4"/>
    <x v="0"/>
    <n v="5724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14"/>
    <x v="0"/>
    <x v="0"/>
    <n v="924820.15187478112"/>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4"/>
    <x v="4"/>
    <x v="0"/>
    <n v="94128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4"/>
    <x v="1"/>
    <x v="0"/>
    <n v="64901.431904181612"/>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4"/>
    <x v="4"/>
    <x v="0"/>
    <n v="5724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4"/>
    <x v="4"/>
    <x v="0"/>
    <n v="12054108"/>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4"/>
    <x v="1"/>
    <x v="0"/>
    <n v="681465.03499390697"/>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4"/>
    <x v="1"/>
    <x v="0"/>
    <n v="392653.66302029876"/>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4"/>
    <x v="0"/>
    <x v="0"/>
    <n v="14717568.00832985"/>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4"/>
    <x v="1"/>
    <x v="0"/>
    <n v="356957.87547299889"/>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4"/>
    <x v="0"/>
    <x v="0"/>
    <n v="159108.84333329566"/>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4"/>
    <x v="0"/>
    <x v="0"/>
    <n v="5469366.4895820385"/>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4"/>
    <x v="3"/>
    <x v="0"/>
    <n v="265329.1252416526"/>
    <x v="7"/>
    <x v="7"/>
    <s v="http://www.afdb.org/en/news-and-events/article/afdb-approves-eur-153-million-for-botswana-power-project-5255/"/>
    <x v="6"/>
    <x v="0"/>
    <x v="0"/>
    <x v="6"/>
    <m/>
    <m/>
    <n v="20"/>
    <n v="2.2761454637999997E-2"/>
    <n v="0.91045818551999991"/>
    <m/>
    <s v="Share of full power plant capacity of 600MW"/>
    <m/>
    <m/>
  </r>
  <r>
    <x v="14"/>
    <x v="3"/>
    <x v="0"/>
    <n v="5361149.0250323201"/>
    <x v="8"/>
    <x v="8"/>
    <s v="http://www.afdb.org/en/projects-and-operations/project-portfolio/project/p-za-faa-001/"/>
    <x v="7"/>
    <x v="0"/>
    <x v="0"/>
    <x v="7"/>
    <m/>
    <m/>
    <n v="160"/>
    <n v="0.18209163710399998"/>
    <n v="7.2836654841599993"/>
    <m/>
    <s v="Share of full power plant capacity of 4800, split with WBG"/>
    <m/>
    <m/>
  </r>
  <r>
    <x v="14"/>
    <x v="3"/>
    <x v="0"/>
    <n v="168023.16536049481"/>
    <x v="9"/>
    <x v="9"/>
    <s v="http://www.afdb.org/en/news-and-events/article/senior-loan-of-up-to-euro-55-million-to-sendou-power-project-in-senegal-5513/"/>
    <x v="8"/>
    <x v="0"/>
    <x v="0"/>
    <x v="7"/>
    <m/>
    <m/>
    <n v="8.3333333333333339"/>
    <n v="9.4839394324999996E-3"/>
    <n v="0.37935757729999997"/>
    <m/>
    <s v="Share of full power plant capacity of 125"/>
    <m/>
    <s v="Yes"/>
  </r>
  <r>
    <x v="14"/>
    <x v="1"/>
    <x v="0"/>
    <n v="365070.55446102156"/>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4"/>
    <x v="0"/>
    <x v="0"/>
    <n v="8949872.4374978822"/>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14"/>
    <x v="0"/>
    <x v="0"/>
    <n v="904931.54645811906"/>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4"/>
    <x v="1"/>
    <x v="0"/>
    <n v="243380.36964068105"/>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4"/>
    <x v="0"/>
    <x v="0"/>
    <n v="2923028.3380868081"/>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4"/>
    <x v="3"/>
    <x v="0"/>
    <n v="404631.34343285923"/>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14"/>
    <x v="3"/>
    <x v="0"/>
    <n v="2276051.3068098333"/>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14"/>
    <x v="0"/>
    <x v="0"/>
    <n v="556880.95166653488"/>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4"/>
    <x v="0"/>
    <x v="0"/>
    <n v="904931.54645811906"/>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4"/>
    <x v="1"/>
    <x v="0"/>
    <n v="6490143.1904181615"/>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4"/>
    <x v="1"/>
    <x v="0"/>
    <n v="9086.2004665854256"/>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4"/>
    <x v="4"/>
    <x v="0"/>
    <n v="18126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5"/>
    <x v="0"/>
    <x v="0"/>
    <n v="3393743.1829951997"/>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5"/>
    <x v="1"/>
    <x v="0"/>
    <n v="3113.5799192189629"/>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5"/>
    <x v="1"/>
    <x v="0"/>
    <n v="11675.92469707111"/>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5"/>
    <x v="4"/>
    <x v="0"/>
    <n v="1476000.0000000002"/>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15"/>
    <x v="0"/>
    <x v="0"/>
    <n v="169687.15914975997"/>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5"/>
    <x v="4"/>
    <x v="0"/>
    <n v="1476000.0000000002"/>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15"/>
    <x v="0"/>
    <x v="0"/>
    <n v="315618.11601855356"/>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5"/>
    <x v="25"/>
    <x v="2"/>
    <n v="75000000"/>
    <x v="180"/>
    <x v="114"/>
    <s v="https://ijglobal.com/data/transaction/32254/maamba-coal-fired-power-plant-phase-i-300mw"/>
    <x v="42"/>
    <x v="0"/>
    <x v="0"/>
    <x v="104"/>
    <s v="This is phase one of two. "/>
    <m/>
    <n v="60"/>
    <n v="6.8284363914000015E-2"/>
    <n v="2.7313745565600005"/>
    <m/>
    <s v="Sinosure, BOC, ICBC, DBSA, IDC SA"/>
    <m/>
    <m/>
  </r>
  <r>
    <x v="15"/>
    <x v="26"/>
    <x v="2"/>
    <n v="75000000"/>
    <x v="180"/>
    <x v="114"/>
    <s v="https://ijglobal.com/data/transaction/32254/maamba-coal-fired-power-plant-phase-i-300mw"/>
    <x v="42"/>
    <x v="0"/>
    <x v="0"/>
    <x v="104"/>
    <s v="This is phase one of two. "/>
    <m/>
    <n v="60"/>
    <n v="6.8284363914000015E-2"/>
    <n v="2.7313745565600005"/>
    <m/>
    <s v="Sinosure, BOC, ICBC, DBSA, IDC SA"/>
    <m/>
    <m/>
  </r>
  <r>
    <x v="15"/>
    <x v="4"/>
    <x v="0"/>
    <n v="242720.00000000003"/>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5"/>
    <x v="1"/>
    <x v="0"/>
    <n v="5559.9641414624339"/>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5"/>
    <x v="4"/>
    <x v="0"/>
    <n v="1476000.0000000002"/>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5"/>
    <x v="4"/>
    <x v="0"/>
    <n v="3108292.0000000005"/>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5"/>
    <x v="1"/>
    <x v="0"/>
    <n v="58379.623485355551"/>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5"/>
    <x v="1"/>
    <x v="0"/>
    <n v="33637.783055847722"/>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5"/>
    <x v="0"/>
    <x v="0"/>
    <n v="5022739.910832895"/>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5"/>
    <x v="0"/>
    <x v="0"/>
    <n v="190049.61824773118"/>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5"/>
    <x v="1"/>
    <x v="0"/>
    <n v="30579.802778043384"/>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5"/>
    <x v="0"/>
    <x v="0"/>
    <n v="54299.890927923196"/>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5"/>
    <x v="0"/>
    <x v="0"/>
    <n v="1866558.7506473598"/>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5"/>
    <x v="3"/>
    <x v="0"/>
    <n v="6490564.1338866642"/>
    <x v="7"/>
    <x v="7"/>
    <s v="http://www.afdb.org/en/news-and-events/article/afdb-approves-eur-153-million-for-botswana-power-project-5255/"/>
    <x v="6"/>
    <x v="0"/>
    <x v="0"/>
    <x v="6"/>
    <m/>
    <m/>
    <n v="20"/>
    <n v="2.2761454637999997E-2"/>
    <n v="0.91045818551999991"/>
    <m/>
    <s v="Share of full power plant capacity of 600MW"/>
    <m/>
    <m/>
  </r>
  <r>
    <x v="15"/>
    <x v="3"/>
    <x v="0"/>
    <n v="131146105.97914734"/>
    <x v="8"/>
    <x v="8"/>
    <s v="http://www.afdb.org/en/projects-and-operations/project-portfolio/project/p-za-faa-001/"/>
    <x v="7"/>
    <x v="0"/>
    <x v="0"/>
    <x v="7"/>
    <m/>
    <m/>
    <n v="160"/>
    <n v="0.18209163710399998"/>
    <n v="7.2836654841599993"/>
    <m/>
    <s v="Share of full power plant capacity of 4800, split with WBG"/>
    <m/>
    <m/>
  </r>
  <r>
    <x v="15"/>
    <x v="3"/>
    <x v="0"/>
    <n v="4110235.2776299492"/>
    <x v="9"/>
    <x v="9"/>
    <s v="http://www.afdb.org/en/news-and-events/article/senior-loan-of-up-to-euro-55-million-to-sendou-power-project-in-senegal-5513/"/>
    <x v="8"/>
    <x v="0"/>
    <x v="0"/>
    <x v="7"/>
    <m/>
    <m/>
    <n v="8.3333333333333339"/>
    <n v="9.4839394324999996E-3"/>
    <n v="0.37935757729999997"/>
    <m/>
    <s v="Share of full power plant capacity of 125"/>
    <m/>
    <s v="Yes"/>
  </r>
  <r>
    <x v="15"/>
    <x v="1"/>
    <x v="0"/>
    <n v="31274.798295726188"/>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5"/>
    <x v="0"/>
    <x v="0"/>
    <n v="3054368.8646956794"/>
    <x v="11"/>
    <x v="11"/>
    <s v="https://ijglobal.com/data/transaction/17705/mundra-umpp"/>
    <x v="4"/>
    <x v="0"/>
    <x v="0"/>
    <x v="9"/>
    <s v="The proposed investment by IFC is an A Loan of up to $450 million. IFC is also considering investing up to $50 million in equity as part of its exposure to the project. Additionally, IFC and CGPL are exploring the possibility of syndicating up to about $300 million in B loans for the project. This is financing to construct, operate, and maintain 4,000 MW coal-fired power in five units of 800 MW each on a build-own-operate basis, incorporating supercritical technology to significantly in reducing future power shortages in the country. _x000a__x000a_Bank response: Supercritical coal technology (higher efficiency and lower carbon dioxide emissions)"/>
    <s v="http://ifcext.ifc.org/ifcext/spiwebsite1.nsf/78e3b305216fcdba85257a8b0075079d/eab8e042d643a6ec852576ba000e2b15?opendocument"/>
    <n v="66.666666666666657"/>
    <n v="7.5871515459999983E-2"/>
    <n v="3.0348606183999993"/>
    <m/>
    <s v="The project involves the construction of the 4,000MW Mundra ultra mega power plant in Gujarat. Power plant size and emissions divided equally among IFC, Korean Exim and ADB. _x000a_"/>
    <m/>
    <m/>
  </r>
  <r>
    <x v="15"/>
    <x v="0"/>
    <x v="0"/>
    <n v="122174.75458782718"/>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5"/>
    <x v="1"/>
    <x v="0"/>
    <n v="20849.865530484127"/>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5"/>
    <x v="0"/>
    <x v="0"/>
    <n v="997556.87120960897"/>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5"/>
    <x v="3"/>
    <x v="0"/>
    <n v="9898218.6095844656"/>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15"/>
    <x v="3"/>
    <x v="0"/>
    <n v="55677479.678912617"/>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15"/>
    <x v="0"/>
    <x v="0"/>
    <n v="308830.62965256313"/>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5"/>
    <x v="1"/>
    <x v="0"/>
    <n v="555996.41414624336"/>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5"/>
    <x v="1"/>
    <x v="0"/>
    <n v="778.39497980474073"/>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5"/>
    <x v="4"/>
    <x v="0"/>
    <n v="467400.00000000006"/>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6"/>
    <x v="0"/>
    <x v="0"/>
    <n v="5484388.7423899919"/>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6"/>
    <x v="1"/>
    <x v="0"/>
    <n v="9405.7009458122102"/>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6"/>
    <x v="1"/>
    <x v="0"/>
    <n v="35271.378546795786"/>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6"/>
    <x v="4"/>
    <x v="0"/>
    <n v="3096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16"/>
    <x v="0"/>
    <x v="0"/>
    <n v="274219.43711949961"/>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6"/>
    <x v="6"/>
    <x v="0"/>
    <n v="1140064.6028788888"/>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6"/>
    <x v="27"/>
    <x v="1"/>
    <n v="0"/>
    <x v="181"/>
    <x v="251"/>
    <m/>
    <x v="24"/>
    <x v="0"/>
    <x v="0"/>
    <x v="202"/>
    <s v="The project uses supercritical pressure, coal-fired steam power generation technology and key components of the project is as follows: a power plant with 2 * 600 MW turbine units (each unit includes a turbine, a boller and a generator) and the auxiliaries. The total project value is 2 billion, but specific amount from financers is unknown"/>
    <s v="https://www.koreaexim.go.kr/site/program/board/basicboard/list?boardtypeid=18&amp;menuid=002002004005"/>
    <n v="1200"/>
    <n v="1.36568727828"/>
    <n v="54.627491131200003"/>
    <m/>
    <m/>
    <m/>
    <m/>
  </r>
  <r>
    <x v="16"/>
    <x v="4"/>
    <x v="0"/>
    <n v="3096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16"/>
    <x v="0"/>
    <x v="0"/>
    <n v="510048.15304226929"/>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6"/>
    <x v="5"/>
    <x v="0"/>
    <n v="25215"/>
    <x v="39"/>
    <x v="45"/>
    <m/>
    <x v="11"/>
    <x v="0"/>
    <x v="0"/>
    <x v="43"/>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46.153846153846153"/>
    <n v="5.2526433780000006E-2"/>
    <n v="2.1010573512000001"/>
    <m/>
    <s v="Share of full power plant capacity of 600"/>
    <m/>
    <m/>
  </r>
  <r>
    <x v="16"/>
    <x v="4"/>
    <x v="0"/>
    <n v="50912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6"/>
    <x v="6"/>
    <x v="0"/>
    <n v="159480.45355035088"/>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6"/>
    <x v="1"/>
    <x v="0"/>
    <n v="16795.894546093234"/>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6"/>
    <x v="4"/>
    <x v="0"/>
    <n v="3096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6"/>
    <x v="6"/>
    <x v="0"/>
    <n v="187868.19317241249"/>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6"/>
    <x v="4"/>
    <x v="0"/>
    <n v="6519832"/>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6"/>
    <x v="1"/>
    <x v="0"/>
    <n v="176356.89273397892"/>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6"/>
    <x v="1"/>
    <x v="0"/>
    <n v="101615.16200386405"/>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6"/>
    <x v="0"/>
    <x v="0"/>
    <n v="307125.76957383956"/>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6"/>
    <x v="28"/>
    <x v="1"/>
    <n v="462000000"/>
    <x v="182"/>
    <x v="136"/>
    <s v="http://www.edf.org/sites/default/files/9584_coal-plants-spreadsheet.xls"/>
    <x v="1"/>
    <x v="0"/>
    <x v="0"/>
    <x v="118"/>
    <s v="As Korea Export Insurance Company (KEIC)"/>
    <s v="https://ijglobal.com/articles/54667/ij-awards-power-deal-of-the-year;"/>
    <n v="462"/>
    <n v="0.52578960213780002"/>
    <n v="21.031584085512002"/>
    <m/>
    <m/>
    <m/>
    <m/>
  </r>
  <r>
    <x v="16"/>
    <x v="27"/>
    <x v="1"/>
    <n v="50000000"/>
    <x v="33"/>
    <x v="252"/>
    <m/>
    <x v="1"/>
    <x v="0"/>
    <x v="0"/>
    <x v="118"/>
    <s v="From KFEM Data"/>
    <m/>
    <n v="240"/>
    <n v="0.27313745565600006"/>
    <n v="10.925498226240002"/>
    <m/>
    <m/>
    <m/>
    <m/>
  </r>
  <r>
    <x v="16"/>
    <x v="0"/>
    <x v="0"/>
    <n v="8116895.3387371879"/>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6"/>
    <x v="5"/>
    <x v="0"/>
    <n v="17650.5"/>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16"/>
    <x v="6"/>
    <x v="0"/>
    <n v="563181.56407228881"/>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6"/>
    <x v="6"/>
    <x v="0"/>
    <n v="710320.6248466596"/>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16"/>
    <x v="1"/>
    <x v="0"/>
    <n v="92377.420003512772"/>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6"/>
    <x v="27"/>
    <x v="1"/>
    <n v="80000000"/>
    <x v="183"/>
    <x v="253"/>
    <m/>
    <x v="11"/>
    <x v="0"/>
    <x v="0"/>
    <x v="122"/>
    <s v="From KFEM Data"/>
    <m/>
    <n v="3170"/>
    <n v="3.6076905601229998"/>
    <n v="144.30762240491998"/>
    <m/>
    <m/>
    <m/>
    <m/>
  </r>
  <r>
    <x v="16"/>
    <x v="0"/>
    <x v="0"/>
    <n v="499079.37555748929"/>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6"/>
    <x v="5"/>
    <x v="0"/>
    <n v="45413475.7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16"/>
    <x v="27"/>
    <x v="1"/>
    <n v="5000000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333.3333333333333"/>
    <n v="1.5174303092000001"/>
    <n v="60.697212368000002"/>
    <m/>
    <s v="The project involves the construction of the 4,000MW Mundra ultra mega power plant in Gujarat. Power plant size and emissions divided equally among IFC, Korean Exim and ADB. _x000a_"/>
    <m/>
    <m/>
  </r>
  <r>
    <x v="16"/>
    <x v="5"/>
    <x v="0"/>
    <n v="3555315"/>
    <x v="31"/>
    <x v="36"/>
    <s v="https://ijglobal.com/data/transaction/21533/khulna-ipp-150mw"/>
    <x v="23"/>
    <x v="0"/>
    <x v="0"/>
    <x v="34"/>
    <s v="ADB RESPONSE: This was not found in ADB project database."/>
    <m/>
    <m/>
    <n v="0"/>
    <n v="0"/>
    <m/>
    <m/>
    <m/>
    <m/>
  </r>
  <r>
    <x v="16"/>
    <x v="5"/>
    <x v="0"/>
    <n v="10086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16"/>
    <x v="5"/>
    <x v="0"/>
    <n v="1404979.8"/>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16"/>
    <x v="6"/>
    <x v="0"/>
    <n v="2023013.8552251642"/>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6"/>
    <x v="2"/>
    <x v="0"/>
    <n v="3232.5268110420288"/>
    <x v="3"/>
    <x v="3"/>
    <s v="http://www.shiftthesubsidies.org/projects/713"/>
    <x v="3"/>
    <x v="0"/>
    <x v="0"/>
    <x v="3"/>
    <m/>
    <m/>
    <n v="60"/>
    <n v="6.8284363914000015E-2"/>
    <n v="2.7313745565600005"/>
    <m/>
    <m/>
    <m/>
    <m/>
  </r>
  <r>
    <x v="16"/>
    <x v="2"/>
    <x v="0"/>
    <n v="1099.4989153204181"/>
    <x v="4"/>
    <x v="4"/>
    <s v="http://www.shiftthesubsidies.org/projects/707"/>
    <x v="3"/>
    <x v="0"/>
    <x v="0"/>
    <x v="3"/>
    <m/>
    <m/>
    <n v="30"/>
    <n v="3.4142181957000008E-2"/>
    <n v="1.3656872782800002"/>
    <m/>
    <m/>
    <m/>
    <m/>
  </r>
  <r>
    <x v="16"/>
    <x v="0"/>
    <x v="0"/>
    <n v="87750.219878239877"/>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6"/>
    <x v="5"/>
    <x v="0"/>
    <n v="45530725.5"/>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16"/>
    <x v="0"/>
    <x v="0"/>
    <n v="3016413.8083144957"/>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6"/>
    <x v="3"/>
    <x v="0"/>
    <n v="623163.14080634096"/>
    <x v="7"/>
    <x v="7"/>
    <s v="http://www.afdb.org/en/news-and-events/article/afdb-approves-eur-153-million-for-botswana-power-project-5255/"/>
    <x v="6"/>
    <x v="0"/>
    <x v="0"/>
    <x v="6"/>
    <m/>
    <m/>
    <n v="20"/>
    <n v="2.2761454637999997E-2"/>
    <n v="0.91045818551999991"/>
    <m/>
    <s v="Share of full power plant capacity of 600MW"/>
    <m/>
    <m/>
  </r>
  <r>
    <x v="16"/>
    <x v="3"/>
    <x v="0"/>
    <n v="12591420.040024795"/>
    <x v="8"/>
    <x v="8"/>
    <s v="http://www.afdb.org/en/projects-and-operations/project-portfolio/project/p-za-faa-001/"/>
    <x v="7"/>
    <x v="0"/>
    <x v="0"/>
    <x v="7"/>
    <m/>
    <m/>
    <n v="160"/>
    <n v="0.18209163710399998"/>
    <n v="7.2836654841599993"/>
    <m/>
    <s v="Share of full power plant capacity of 4800, split with WBG"/>
    <m/>
    <m/>
  </r>
  <r>
    <x v="16"/>
    <x v="3"/>
    <x v="0"/>
    <n v="394626.27164999949"/>
    <x v="9"/>
    <x v="9"/>
    <s v="http://www.afdb.org/en/news-and-events/article/senior-loan-of-up-to-euro-55-million-to-sendou-power-project-in-senegal-5513/"/>
    <x v="8"/>
    <x v="0"/>
    <x v="0"/>
    <x v="7"/>
    <m/>
    <m/>
    <n v="8.3333333333333339"/>
    <n v="9.4839394324999996E-3"/>
    <n v="0.37935757729999997"/>
    <m/>
    <s v="Share of full power plant capacity of 125"/>
    <m/>
    <s v="Yes"/>
  </r>
  <r>
    <x v="16"/>
    <x v="27"/>
    <x v="1"/>
    <n v="0"/>
    <x v="184"/>
    <x v="254"/>
    <s v="http://www.koreaexim.go.kr/en/bbs/noti/view.jsp?no=9593&amp;bbs_code_id=1316753474007&amp;bbs_code_tp=BBS_2&amp;req_pg=5"/>
    <x v="57"/>
    <x v="2"/>
    <x v="3"/>
    <x v="203"/>
    <s v="Amount was $200 million for a turbine manufacturer but unclear on coal proportion of turbines"/>
    <m/>
    <m/>
    <n v="0"/>
    <n v="0"/>
    <m/>
    <m/>
    <m/>
    <m/>
  </r>
  <r>
    <x v="16"/>
    <x v="5"/>
    <x v="0"/>
    <n v="226935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16"/>
    <x v="27"/>
    <x v="1"/>
    <n v="170000000"/>
    <x v="33"/>
    <x v="255"/>
    <s v="http://www.koreaexim.go.kr/en/bbs/noti/view.jsp?no=9583&amp;bbs_code_id=1316753474007&amp;bbs_code_tp=BBS_2&amp;req_pg=2;"/>
    <x v="5"/>
    <x v="0"/>
    <x v="0"/>
    <x v="39"/>
    <s v="Full co-financing amount is $595 million, with JBIC and Kexim providing political risk insurance for co-finance. Kexim amount is $595 divided by 2."/>
    <s v="http://www.koreaexim.go.kr/en/banking/export/loan_03_03.jsp_x000a_http://www.jbic.go.jp/en/information/press/press-2009/0308-7152"/>
    <n v="200"/>
    <n v="0.22761454638"/>
    <n v="9.1045818551999993"/>
    <m/>
    <m/>
    <m/>
    <m/>
  </r>
  <r>
    <x v="16"/>
    <x v="5"/>
    <x v="0"/>
    <m/>
    <x v="36"/>
    <x v="42"/>
    <s v="http://www.adb.org/sites/default/files/projdocs/2008/41958-PHI-RRP.pdf_x000a_http://www.adb.org/sites/default/files/projdocs/2008/41958-PHI-RRP.pdf"/>
    <x v="5"/>
    <x v="0"/>
    <x v="1"/>
    <x v="40"/>
    <n v="6051600"/>
    <m/>
    <m/>
    <n v="0"/>
    <n v="0"/>
    <m/>
    <s v="ADB Project 41958-014: Source of Funding - ADB Ordinary Capital Resources. ADB does not include in its list.; Power Plant emission are divided evenly among the G20 countries that provided funding to the projects. "/>
    <s v="CANCELLED"/>
    <m/>
  </r>
  <r>
    <x v="16"/>
    <x v="6"/>
    <x v="0"/>
    <n v="295360.02286287397"/>
    <x v="38"/>
    <x v="44"/>
    <s v="http://www.ebrd.com/work-with-us/projects/psd/mak.html"/>
    <x v="9"/>
    <x v="1"/>
    <x v="2"/>
    <x v="42"/>
    <s v="Expansion of Eldev coal mine. Mongolyn Alt Corporation (‘MAK’ or the ‘Company’), a medium-sized Mongolian mining company producing coal"/>
    <m/>
    <m/>
    <n v="0"/>
    <n v="0"/>
    <m/>
    <s v="Yes"/>
    <m/>
    <m/>
  </r>
  <r>
    <x v="16"/>
    <x v="27"/>
    <x v="1"/>
    <n v="238000000"/>
    <x v="185"/>
    <x v="256"/>
    <s v="http://www.koreaexim.go.kr/en/bbs/noti/view.jsp?no=9606&amp;bbs_code_id=1316753474007&amp;bbs_code_tp=BBS_2&amp;req_pg=2"/>
    <x v="16"/>
    <x v="0"/>
    <x v="0"/>
    <x v="204"/>
    <m/>
    <m/>
    <n v="660"/>
    <n v="0.75112800305400007"/>
    <n v="30.045120122160004"/>
    <m/>
    <m/>
    <m/>
    <m/>
  </r>
  <r>
    <x v="16"/>
    <x v="1"/>
    <x v="0"/>
    <n v="94476.906821774435"/>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6"/>
    <x v="6"/>
    <x v="0"/>
    <n v="802790.26170306839"/>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16"/>
    <x v="28"/>
    <x v="1"/>
    <n v="1074000000"/>
    <x v="186"/>
    <x v="257"/>
    <s v="https://www.ksure.or.kr/english/jsp/customer/CstmrEnvEngDetailInq.jsp?argItem=&amp;argValue=&amp;dv1=a&amp;dv2=z&amp;page=2&amp;idx=158861"/>
    <x v="24"/>
    <x v="0"/>
    <x v="0"/>
    <x v="45"/>
    <s v="According to ijonline, Kexim provided $340 million as a direct loan and Kexim and Ksure shared an 85% guarantee on 1.5 billion in debt (750,000,000 each)."/>
    <s v="https://ijglobal.com/articles/54667/ij-awards-power-deal-of-the-year;_x000a_https://ijglobal.com/articles/76779/mong-duong-2-ipp-vietnam"/>
    <n v="1242"/>
    <n v="1.4134863330198002"/>
    <n v="56.539453320792006"/>
    <m/>
    <m/>
    <m/>
    <m/>
  </r>
  <r>
    <x v="16"/>
    <x v="6"/>
    <x v="0"/>
    <m/>
    <x v="42"/>
    <x v="48"/>
    <s v="http://www.ebrd.com/work-with-us/projects/psd/oltenia---turceni-rehabilitation.html"/>
    <x v="29"/>
    <x v="0"/>
    <x v="1"/>
    <x v="37"/>
    <m/>
    <m/>
    <m/>
    <n v="0"/>
    <n v="0"/>
    <m/>
    <s v="Financing for the rehabilitation and modernisation of unit 6 of CET Oltenia’s Turceni lignite fired power plant"/>
    <s v="CANCELLED"/>
    <m/>
  </r>
  <r>
    <x v="16"/>
    <x v="6"/>
    <x v="0"/>
    <n v="546213.74091079435"/>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16"/>
    <x v="6"/>
    <x v="0"/>
    <n v="347311.01866505621"/>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6"/>
    <x v="27"/>
    <x v="1"/>
    <n v="622000000"/>
    <x v="187"/>
    <x v="258"/>
    <s v="https://tradefinanceanalytics.com/Articles/3138222/Kexim-finances-EVN-coal-plant-project"/>
    <x v="24"/>
    <x v="0"/>
    <x v="0"/>
    <x v="205"/>
    <m/>
    <s v="http://www.koreaexim.go.kr/en/banking/export/loan_03_03.jsp"/>
    <n v="1080"/>
    <n v="1.2291185504519999"/>
    <n v="49.164742018079998"/>
    <m/>
    <m/>
    <m/>
    <m/>
  </r>
  <r>
    <x v="16"/>
    <x v="5"/>
    <x v="0"/>
    <n v="10086"/>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16"/>
    <x v="27"/>
    <x v="1"/>
    <n v="510000000"/>
    <x v="188"/>
    <x v="259"/>
    <s v="http://www.koreaexim.go.kr/en/bbs/noti/view.jsp?no=11358&amp;bbs_code_id=1316753474007&amp;bbs_code_tp=BBS_2&amp;req_pg=11"/>
    <x v="24"/>
    <x v="0"/>
    <x v="0"/>
    <x v="49"/>
    <s v="According to ijonline, Kexim provided $340 million as a direct loan and Kexim and Ksure shared an 85% guarantee on 1.5 billion in debt (750,000,000 each)."/>
    <s v="http://www.koreaexim.go.kr/en/banking/export/loan_03_03.jsp_x000a_https://ijglobal.com/articles/76779/mong-duong-2-ipp-vietnam"/>
    <n v="1000"/>
    <n v="1.1380727319000001"/>
    <n v="45.522909276000007"/>
    <m/>
    <m/>
    <m/>
    <m/>
  </r>
  <r>
    <x v="16"/>
    <x v="28"/>
    <x v="1"/>
    <n v="344000000"/>
    <x v="186"/>
    <x v="260"/>
    <s v="https://www.ksure.or.kr/jsp/common/FileDown.jsp?f_idx=1353916217785.pdf&amp;f_sz=87817"/>
    <x v="1"/>
    <x v="0"/>
    <x v="0"/>
    <x v="49"/>
    <s v="K-Sure doesn't make such information publicly available so we have had to estimate the value of this project where K-Sure has been listed as a financer in several public documents. We have assumed the same level of financing as NEXI provides as the JBIC press release (available here: https://www.jbic.go.jp/en/information/press/press-2012/0328-7393) lists NEXI and K-Sure as the insurance providers for the project._x000a_"/>
    <s v="https://www.ksure.or.kr/jsp/common/FileDown.jsp?f_idx=1353916217785.pdf&amp;f_sz=87817_x000a_https://ijglobal.com/articles/82829/aes-gener-and-mitsubishi-close-cochrane-ipp"/>
    <n v="472"/>
    <n v="0.53717032945679999"/>
    <n v="21.486813178272001"/>
    <m/>
    <m/>
    <m/>
    <m/>
  </r>
  <r>
    <x v="16"/>
    <x v="6"/>
    <x v="0"/>
    <n v="1304843.936620231"/>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6"/>
    <x v="27"/>
    <x v="1"/>
    <n v="350000000"/>
    <x v="189"/>
    <x v="261"/>
    <s v="http://www.koreaexim.go.kr/en/bbs/noti/view.jsp?no=10452&amp;bbs_code_id=1316753474007&amp;bbs_code_tp=BBS_2&amp;req_pg=2;"/>
    <x v="39"/>
    <x v="0"/>
    <x v="0"/>
    <x v="206"/>
    <m/>
    <s v="http://www.tradefinancemagazine.com/Article/3165573/Search/Results/Jorf-LasfarECA-project-financing.html?Keywords=kexim+coal"/>
    <n v="700"/>
    <n v="0.79665091232999996"/>
    <n v="31.866036493199999"/>
    <m/>
    <m/>
    <m/>
    <m/>
  </r>
  <r>
    <x v="16"/>
    <x v="0"/>
    <x v="0"/>
    <n v="4935949.8681509933"/>
    <x v="11"/>
    <x v="11"/>
    <s v="https://ijglobal.com/data/transaction/17705/mundra-umpp"/>
    <x v="4"/>
    <x v="0"/>
    <x v="0"/>
    <x v="9"/>
    <s v="The proposed investment by IFC is an A Loan of up to $450 million. IFC is also considering investing up to $50 million in equity as part of its exposure to the project. Additionally, IFC and CGPL are exploring the possibility of syndicating up to about $300 million in B loans for the project. This is financing to construct, operate, and maintain 4,000 MW coal-fired power in five units of 800 MW each on a build-own-operate basis, incorporating supercritical technology to significantly in reducing future power shortages in the country. _x000a__x000a_Bank response: Supercritical coal technology (higher efficiency and lower carbon dioxide emissions)"/>
    <s v="http://ifcext.ifc.org/ifcext/spiwebsite1.nsf/78e3b305216fcdba85257a8b0075079d/eab8e042d643a6ec852576ba000e2b15?opendocument"/>
    <n v="66.666666666666657"/>
    <n v="7.5871515459999983E-2"/>
    <n v="3.0348606183999993"/>
    <m/>
    <s v="The project involves the construction of the 4,000MW Mundra ultra mega power plant in Gujarat. Power plant size and emissions divided equally among IFC, Korean Exim and ADB. _x000a_"/>
    <m/>
    <m/>
  </r>
  <r>
    <x v="16"/>
    <x v="28"/>
    <x v="1"/>
    <n v="890000000"/>
    <x v="190"/>
    <x v="262"/>
    <s v="https://www.ksure.or.kr/english/jsp/customer/CstmrEnvEngDetailInq.jsp?argItem=&amp;argValue=&amp;dv1=a&amp;dv2=z&amp;page=2&amp;idx=158861"/>
    <x v="47"/>
    <x v="2"/>
    <x v="4"/>
    <x v="207"/>
    <m/>
    <s v="https://www.ksure.or.kr/jsp/common/FileDown.jsp?f_idx=1333948986791.pdf&amp;f_sz=4762287_x000a_http://www.enerjisa.com.tr/en-US/Media/Pages/PressBulletin_105.aspx"/>
    <n v="450"/>
    <n v="0.51213272935499998"/>
    <n v="20.485309174199998"/>
    <m/>
    <m/>
    <m/>
    <m/>
  </r>
  <r>
    <x v="16"/>
    <x v="27"/>
    <x v="1"/>
    <n v="600000000"/>
    <x v="191"/>
    <x v="263"/>
    <s v="http://vietnamnews.vn/economy/248733/thermal-power-project-warms-up.html"/>
    <x v="24"/>
    <x v="0"/>
    <x v="0"/>
    <x v="83"/>
    <s v="The loan agreements include a $330 million direct loan with KEXIM, $270 million KEXIM guaranteed loan with the Bank of Tokyo-Mitsubishi UFJ, Ltd (BTMU), CITI bank, HSBC bank, Mizuho bank, Standard Chartered Bank (SCB), and Oversea Chinese Banking Corporation (OCBC)&quot; -- see: http://vietnamnews.vn/economy/248733/thermal-power-project-warms-up.html ; Power plant size. See: http://www.aurecongroup.com/en/projects/resources/vinh-tan-2-coal-fired-power-plant.aspx"/>
    <s v="http://www.koreaexim.go.kr/en/banking/export/loan_03_03.jsp"/>
    <n v="1200"/>
    <n v="1.36568727828"/>
    <n v="54.627491131200003"/>
    <m/>
    <m/>
    <m/>
    <m/>
  </r>
  <r>
    <x v="16"/>
    <x v="0"/>
    <x v="0"/>
    <n v="197437.9947260397"/>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6"/>
    <x v="27"/>
    <x v="1"/>
    <n v="455000000"/>
    <x v="192"/>
    <x v="264"/>
    <s v="http://www.koreaexim.go.kr/en/banking/export/loan_03_03.jsp"/>
    <x v="24"/>
    <x v="0"/>
    <x v="0"/>
    <x v="51"/>
    <s v="$300 million loan and $155 million coverage; Kexim hasn't provided public information on how much funding they have provided this project. A public news story reports that the total project cost is $1.36 billion of which 85% of the funding is provided by Kexim, K-sure, JBIC, and NEXI. Since we have no way to break the value between these 4 institutions we have given them an equal share of the project (adjusted for the 85% supported by these institutions). We have applied the total value of the direct loan and the loan guarantee."/>
    <s v="https://www.ksure.or.kr/jsp/common/FileDown.jsp?f_idx=1383097284602.pdf&amp;f_sz=542506_x000a_https://tradefinanceanalytics.com/Articles/3436066/Deals-of-the-Year-2014-Asia-Pacific-Winners.html_x000a_"/>
    <n v="400"/>
    <n v="0.45522909276000001"/>
    <n v="18.209163710399999"/>
    <m/>
    <m/>
    <m/>
    <m/>
  </r>
  <r>
    <x v="16"/>
    <x v="1"/>
    <x v="0"/>
    <n v="62984.604547849616"/>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6"/>
    <x v="0"/>
    <x v="0"/>
    <n v="1612081.2269381143"/>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6"/>
    <x v="5"/>
    <x v="0"/>
    <n v="6051600"/>
    <x v="49"/>
    <x v="54"/>
    <m/>
    <x v="5"/>
    <x v="0"/>
    <x v="1"/>
    <x v="52"/>
    <s v="ADB Project 43906-014: Source of Funding - ADB LIBOR Based Loan. CFB subcritical "/>
    <m/>
    <n v="15.384615384615385"/>
    <n v="1.750881126E-2"/>
    <n v="0.70035245040000005"/>
    <m/>
    <m/>
    <m/>
    <m/>
  </r>
  <r>
    <x v="16"/>
    <x v="3"/>
    <x v="0"/>
    <n v="950334.18819987832"/>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16"/>
    <x v="6"/>
    <x v="0"/>
    <n v="831640.76574451278"/>
    <x v="50"/>
    <x v="55"/>
    <s v="http://www.ebrd.com/work-with-us/projects/psd/tgk13-capacity-financing-.html"/>
    <x v="28"/>
    <x v="0"/>
    <x v="1"/>
    <x v="53"/>
    <m/>
    <m/>
    <n v="15.416666666666666"/>
    <n v="1.7545287950124999E-2"/>
    <n v="0.70181151800499997"/>
    <m/>
    <m/>
    <m/>
    <m/>
  </r>
  <r>
    <x v="16"/>
    <x v="3"/>
    <x v="0"/>
    <n v="5345629.808624316"/>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16"/>
    <x v="1"/>
    <x v="0"/>
    <n v="1679589.4546093233"/>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6"/>
    <x v="1"/>
    <x v="0"/>
    <n v="2351.4252364530525"/>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6"/>
    <x v="6"/>
    <x v="0"/>
    <n v="341383.58806924644"/>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6"/>
    <x v="5"/>
    <x v="0"/>
    <n v="680805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16"/>
    <x v="6"/>
    <x v="0"/>
    <n v="287267.96744197333"/>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6"/>
    <x v="4"/>
    <x v="0"/>
    <n v="9804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7"/>
    <x v="0"/>
    <x v="0"/>
    <n v="3085699.321913823"/>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7"/>
    <x v="1"/>
    <x v="0"/>
    <n v="6760.3419701061575"/>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7"/>
    <x v="1"/>
    <x v="0"/>
    <n v="25351.282387898089"/>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7"/>
    <x v="4"/>
    <x v="0"/>
    <n v="2214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17"/>
    <x v="0"/>
    <x v="0"/>
    <n v="154284.96609569117"/>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7"/>
    <x v="6"/>
    <x v="0"/>
    <n v="1311032.5104406227"/>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7"/>
    <x v="29"/>
    <x v="2"/>
    <n v="68390000"/>
    <x v="193"/>
    <x v="265"/>
    <m/>
    <x v="47"/>
    <x v="0"/>
    <x v="11"/>
    <x v="208"/>
    <m/>
    <s v="https://ijglobal.com/data/transaction/35062/canakkale-thermal-power-plant-330mw http://globalenergyobservatory.org/form.php?pid=43065"/>
    <n v="330"/>
    <n v="0.37556400152700004"/>
    <n v="15.022560061080002"/>
    <m/>
    <m/>
    <s v="new"/>
    <m/>
  </r>
  <r>
    <x v="17"/>
    <x v="6"/>
    <x v="0"/>
    <n v="1246945.9999406859"/>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7"/>
    <x v="4"/>
    <x v="0"/>
    <n v="2214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17"/>
    <x v="0"/>
    <x v="0"/>
    <n v="286970.03693798557"/>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7"/>
    <x v="5"/>
    <x v="0"/>
    <n v="1700"/>
    <x v="39"/>
    <x v="45"/>
    <m/>
    <x v="11"/>
    <x v="0"/>
    <x v="0"/>
    <x v="43"/>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46.153846153846153"/>
    <n v="5.2526433780000006E-2"/>
    <n v="2.1010573512000001"/>
    <m/>
    <s v="Share of full power plant capacity of 600"/>
    <m/>
    <m/>
  </r>
  <r>
    <x v="17"/>
    <x v="4"/>
    <x v="0"/>
    <n v="36408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7"/>
    <x v="6"/>
    <x v="0"/>
    <n v="183396.67669388824"/>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7"/>
    <x v="1"/>
    <x v="0"/>
    <n v="12072.039232332423"/>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7"/>
    <x v="4"/>
    <x v="0"/>
    <n v="2214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7"/>
    <x v="6"/>
    <x v="0"/>
    <n v="216041.53686099211"/>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7"/>
    <x v="4"/>
    <x v="0"/>
    <n v="4662438"/>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7"/>
    <x v="1"/>
    <x v="0"/>
    <n v="126756.41193949046"/>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7"/>
    <x v="1"/>
    <x v="0"/>
    <n v="73035.837355611162"/>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7"/>
    <x v="0"/>
    <x v="0"/>
    <n v="172799.16202717411"/>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7"/>
    <x v="0"/>
    <x v="0"/>
    <n v="280798.63829415792"/>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7"/>
    <x v="5"/>
    <x v="0"/>
    <n v="306178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17"/>
    <x v="0"/>
    <x v="0"/>
    <n v="4566834.9964324581"/>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7"/>
    <x v="5"/>
    <x v="0"/>
    <n v="1190"/>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17"/>
    <x v="6"/>
    <x v="0"/>
    <n v="647638.15832461673"/>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7"/>
    <x v="6"/>
    <x v="0"/>
    <n v="816842.68563278671"/>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17"/>
    <x v="1"/>
    <x v="0"/>
    <n v="66396.215777828329"/>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7"/>
    <x v="1"/>
    <x v="0"/>
    <n v="1207203.9232332425"/>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7"/>
    <x v="5"/>
    <x v="0"/>
    <n v="239700"/>
    <x v="31"/>
    <x v="36"/>
    <s v="https://ijglobal.com/data/transaction/21533/khulna-ipp-150mw"/>
    <x v="23"/>
    <x v="0"/>
    <x v="0"/>
    <x v="34"/>
    <s v="ADB RESPONSE: This was not found in ADB project database."/>
    <m/>
    <m/>
    <n v="0"/>
    <n v="0"/>
    <m/>
    <m/>
    <m/>
    <m/>
  </r>
  <r>
    <x v="17"/>
    <x v="5"/>
    <x v="0"/>
    <n v="680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17"/>
    <x v="5"/>
    <x v="0"/>
    <n v="94724"/>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17"/>
    <x v="6"/>
    <x v="0"/>
    <n v="2326391.7909341156"/>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7"/>
    <x v="0"/>
    <x v="0"/>
    <n v="49371.189150621169"/>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7"/>
    <x v="5"/>
    <x v="0"/>
    <n v="3069690"/>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17"/>
    <x v="0"/>
    <x v="0"/>
    <n v="1697134.6270526028"/>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7"/>
    <x v="3"/>
    <x v="0"/>
    <n v="443517.42929278687"/>
    <x v="7"/>
    <x v="7"/>
    <s v="http://www.afdb.org/en/news-and-events/article/afdb-approves-eur-153-million-for-botswana-power-project-5255/"/>
    <x v="6"/>
    <x v="0"/>
    <x v="0"/>
    <x v="6"/>
    <m/>
    <m/>
    <n v="20"/>
    <n v="2.2761454637999997E-2"/>
    <n v="0.91045818551999991"/>
    <m/>
    <s v="Share of full power plant capacity of 600MW"/>
    <m/>
    <m/>
  </r>
  <r>
    <x v="17"/>
    <x v="3"/>
    <x v="0"/>
    <n v="8961560.5956273396"/>
    <x v="8"/>
    <x v="8"/>
    <s v="http://www.afdb.org/en/projects-and-operations/project-portfolio/project/p-za-faa-001/"/>
    <x v="7"/>
    <x v="0"/>
    <x v="0"/>
    <x v="7"/>
    <m/>
    <m/>
    <n v="160"/>
    <n v="0.18209163710399998"/>
    <n v="7.2836654841599993"/>
    <m/>
    <s v="Share of full power plant capacity of 4800, split with WBG"/>
    <m/>
    <m/>
  </r>
  <r>
    <x v="17"/>
    <x v="3"/>
    <x v="0"/>
    <n v="280863.2572637932"/>
    <x v="9"/>
    <x v="9"/>
    <s v="http://www.afdb.org/en/news-and-events/article/senior-loan-of-up-to-euro-55-million-to-sendou-power-project-in-senegal-5513/"/>
    <x v="8"/>
    <x v="0"/>
    <x v="0"/>
    <x v="7"/>
    <m/>
    <m/>
    <n v="8.3333333333333339"/>
    <n v="9.4839394324999996E-3"/>
    <n v="0.37935757729999997"/>
    <m/>
    <s v="Share of full power plant capacity of 125"/>
    <m/>
    <s v="Yes"/>
  </r>
  <r>
    <x v="17"/>
    <x v="5"/>
    <x v="0"/>
    <n v="1530000"/>
    <x v="11"/>
    <x v="11"/>
    <s v="https://ijglobal.com/data/transaction/17705/mundra-umpp"/>
    <x v="4"/>
    <x v="0"/>
    <x v="0"/>
    <x v="143"/>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17"/>
    <x v="6"/>
    <x v="0"/>
    <n v="339653.20147638087"/>
    <x v="38"/>
    <x v="44"/>
    <s v="http://www.ebrd.com/work-with-us/projects/psd/mak.html"/>
    <x v="9"/>
    <x v="1"/>
    <x v="2"/>
    <x v="42"/>
    <s v="Expansion of Eldev coal mine. Mongolyn Alt Corporation (‘MAK’ or the ‘Company’), a medium-sized Mongolian mining company producing coal"/>
    <m/>
    <m/>
    <n v="0"/>
    <n v="0"/>
    <m/>
    <s v="Yes"/>
    <m/>
    <m/>
  </r>
  <r>
    <x v="17"/>
    <x v="5"/>
    <x v="0"/>
    <m/>
    <x v="36"/>
    <x v="42"/>
    <s v="http://www.adb.org/sites/default/files/projdocs/2008/41958-PHI-RRP.pdf_x000a_http://www.adb.org/sites/default/files/projdocs/2008/41958-PHI-RRP.pdf"/>
    <x v="5"/>
    <x v="0"/>
    <x v="1"/>
    <x v="40"/>
    <n v="408000"/>
    <m/>
    <m/>
    <n v="0"/>
    <n v="0"/>
    <m/>
    <s v="ADB Project 41958-014: Source of Funding - ADB Ordinary Capital Resources. ADB does not include in its list.; Power Plant emission are divided evenly among the G20 countries that provided funding to the projects. "/>
    <s v="CANCELLED"/>
    <m/>
  </r>
  <r>
    <x v="17"/>
    <x v="1"/>
    <x v="0"/>
    <n v="67905.220681869891"/>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7"/>
    <x v="6"/>
    <x v="0"/>
    <n v="923179.37904582557"/>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17"/>
    <x v="6"/>
    <x v="0"/>
    <m/>
    <x v="42"/>
    <x v="48"/>
    <s v="http://www.ebrd.com/work-with-us/projects/psd/oltenia---turceni-rehabilitation.html"/>
    <x v="29"/>
    <x v="0"/>
    <x v="1"/>
    <x v="37"/>
    <m/>
    <m/>
    <m/>
    <n v="0"/>
    <n v="0"/>
    <m/>
    <s v="Financing for the rehabilitation and modernisation of unit 6 of CET Oltenia’s Turceni lignite fired power plant"/>
    <s v="CANCELLED"/>
    <m/>
  </r>
  <r>
    <x v="17"/>
    <x v="6"/>
    <x v="0"/>
    <n v="628125.78355221124"/>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17"/>
    <x v="6"/>
    <x v="0"/>
    <n v="399394.94266756898"/>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7"/>
    <x v="6"/>
    <x v="0"/>
    <n v="1500522.7051525046"/>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7"/>
    <x v="0"/>
    <x v="0"/>
    <n v="2777129.3897224409"/>
    <x v="11"/>
    <x v="11"/>
    <s v="https://ijglobal.com/data/transaction/17705/mundra-umpp"/>
    <x v="4"/>
    <x v="0"/>
    <x v="0"/>
    <x v="9"/>
    <s v="The proposed investment by IFC is an A Loan of up to $450 million. IFC is also considering investing up to $50 million in equity as part of its exposure to the project. Additionally, IFC and CGPL are exploring the possibility of syndicating up to about $300 million in B loans for the project. This is financing to construct, operate, and maintain 4,000 MW coal-fired power in five units of 800 MW each on a build-own-operate basis, incorporating supercritical technology to significantly in reducing future power shortages in the country. _x000a__x000a_Bank response: Supercritical coal technology (higher efficiency and lower carbon dioxide emissions)"/>
    <s v="http://ifcext.ifc.org/ifcext/spiwebsite1.nsf/78e3b305216fcdba85257a8b0075079d/eab8e042d643a6ec852576ba000e2b15?opendocument"/>
    <n v="66.666666666666657"/>
    <n v="7.5871515459999983E-2"/>
    <n v="3.0348606183999993"/>
    <m/>
    <s v="The project involves the construction of the 4,000MW Mundra ultra mega power plant in Gujarat. Power plant size and emissions divided equally among IFC, Korean Exim and ADB. _x000a_"/>
    <m/>
    <m/>
  </r>
  <r>
    <x v="17"/>
    <x v="1"/>
    <x v="0"/>
    <n v="1690.0854925265394"/>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7"/>
    <x v="5"/>
    <x v="0"/>
    <n v="680"/>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17"/>
    <x v="0"/>
    <x v="0"/>
    <n v="111085.17558889763"/>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7"/>
    <x v="1"/>
    <x v="0"/>
    <n v="45270.147121246591"/>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7"/>
    <x v="0"/>
    <x v="0"/>
    <n v="907010.45868334919"/>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7"/>
    <x v="5"/>
    <x v="0"/>
    <n v="408000"/>
    <x v="49"/>
    <x v="54"/>
    <m/>
    <x v="5"/>
    <x v="0"/>
    <x v="1"/>
    <x v="52"/>
    <s v="ADB Project 43906-014: Source of Funding - ADB LIBOR Based Loan. CFB subcritical "/>
    <m/>
    <n v="15.384615384615385"/>
    <n v="1.750881126E-2"/>
    <n v="0.70035245040000005"/>
    <m/>
    <m/>
    <m/>
    <m/>
  </r>
  <r>
    <x v="17"/>
    <x v="3"/>
    <x v="0"/>
    <n v="676371.4804666905"/>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17"/>
    <x v="6"/>
    <x v="0"/>
    <n v="956356.40133510565"/>
    <x v="50"/>
    <x v="55"/>
    <s v="http://www.ebrd.com/work-with-us/projects/psd/tgk13-capacity-financing-.html"/>
    <x v="28"/>
    <x v="0"/>
    <x v="1"/>
    <x v="53"/>
    <m/>
    <m/>
    <n v="15.416666666666666"/>
    <n v="1.7545287950124999E-2"/>
    <n v="0.70181151800499997"/>
    <m/>
    <m/>
    <m/>
    <m/>
  </r>
  <r>
    <x v="17"/>
    <x v="3"/>
    <x v="0"/>
    <n v="3804589.577625134"/>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17"/>
    <x v="6"/>
    <x v="0"/>
    <n v="392578.61472013203"/>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7"/>
    <x v="5"/>
    <x v="0"/>
    <n v="45900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17"/>
    <x v="6"/>
    <x v="0"/>
    <n v="330347.63431264443"/>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7"/>
    <x v="4"/>
    <x v="0"/>
    <n v="7011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8"/>
    <x v="0"/>
    <x v="0"/>
    <n v="23578701.991627287"/>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8"/>
    <x v="1"/>
    <x v="0"/>
    <n v="67807.953620851855"/>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8"/>
    <x v="1"/>
    <x v="0"/>
    <n v="254279.82607819446"/>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8"/>
    <x v="4"/>
    <x v="0"/>
    <n v="7470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18"/>
    <x v="0"/>
    <x v="0"/>
    <n v="1178935.0995813643"/>
    <x v="18"/>
    <x v="20"/>
    <s v="http://ifcext.ifc.org/ifcext/spiwebsite1.nsf/ProjectDisplay/SPI_DP25849"/>
    <x v="15"/>
    <x v="0"/>
    <x v="0"/>
    <x v="18"/>
    <s v="The total project cost is estimated to be $73 million; the IFC loan is for $25 million. The investment is targeted at several aspects of the company's business including a 30-MW captive power plant._x000a__x000a_Bank response: Manufacturing project that includes power generation. Some of the proceeds of IFC’s loan supported a captive power plant supporting Electrotherm’s steel business. "/>
    <m/>
    <n v="1.5"/>
    <n v="1.7071090978499999E-3"/>
    <n v="6.8284363914000001E-2"/>
    <m/>
    <s v="Share of full power plant capacity of 30MW"/>
    <s v="Active"/>
    <m/>
  </r>
  <r>
    <x v="18"/>
    <x v="6"/>
    <x v="0"/>
    <n v="10383738.360748647"/>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8"/>
    <x v="6"/>
    <x v="0"/>
    <n v="9876155.556977395"/>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8"/>
    <x v="4"/>
    <x v="0"/>
    <n v="415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18"/>
    <x v="0"/>
    <x v="0"/>
    <n v="2192819.2852213378"/>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WBG"/>
    <s v="Active"/>
    <m/>
  </r>
  <r>
    <x v="18"/>
    <x v="5"/>
    <x v="0"/>
    <n v="10225"/>
    <x v="39"/>
    <x v="45"/>
    <m/>
    <x v="11"/>
    <x v="0"/>
    <x v="0"/>
    <x v="43"/>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46.153846153846153"/>
    <n v="5.2526433780000006E-2"/>
    <n v="2.1010573512000001"/>
    <m/>
    <s v="Share of full power plant capacity of 600"/>
    <m/>
    <m/>
  </r>
  <r>
    <x v="18"/>
    <x v="4"/>
    <x v="0"/>
    <n v="122840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8"/>
    <x v="6"/>
    <x v="0"/>
    <n v="1452552.1616394678"/>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8"/>
    <x v="1"/>
    <x v="0"/>
    <n v="121085.63146580687"/>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8"/>
    <x v="4"/>
    <x v="0"/>
    <n v="126160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8"/>
    <x v="6"/>
    <x v="0"/>
    <n v="1711108.4400680675"/>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8"/>
    <x v="4"/>
    <x v="0"/>
    <n v="15730990"/>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8"/>
    <x v="1"/>
    <x v="0"/>
    <n v="732568.07036813162"/>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8"/>
    <x v="0"/>
    <x v="0"/>
    <n v="1320407.3115311281"/>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8"/>
    <x v="0"/>
    <x v="0"/>
    <n v="2145661.8812380834"/>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8"/>
    <x v="5"/>
    <x v="0"/>
    <n v="18415736.2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18"/>
    <x v="1"/>
    <x v="0"/>
    <n v="16951.988405212964"/>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8"/>
    <x v="0"/>
    <x v="0"/>
    <n v="34896478.947608389"/>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8"/>
    <x v="12"/>
    <x v="0"/>
    <n v="81305000"/>
    <x v="98"/>
    <x v="115"/>
    <s v="http://www.eib.org/projects/pipeline/2006/20060114.htm"/>
    <x v="43"/>
    <x v="0"/>
    <x v="0"/>
    <x v="105"/>
    <s v="EIB RESPONSE: Signed amount was 343.5 MEUR e.g. about 505 MUSD at 1.67 exchange rate"/>
    <m/>
    <n v="187.5"/>
    <n v="0.21338863723125004"/>
    <n v="8.5355454892500013"/>
    <m/>
    <s v="Share of full power plant capacity of 750"/>
    <m/>
    <m/>
  </r>
  <r>
    <x v="18"/>
    <x v="12"/>
    <x v="0"/>
    <n v="21161761.82052232"/>
    <x v="99"/>
    <x v="116"/>
    <s v="http://www.eib.org/projects/pipeline/2006/20060248.htm"/>
    <x v="44"/>
    <x v="4"/>
    <x v="14"/>
    <x v="106"/>
    <m/>
    <m/>
    <n v="982.5"/>
    <n v="1.1181564590917499"/>
    <n v="44.726258363669999"/>
    <m/>
    <s v="Share of full power plant capacity of 3930"/>
    <m/>
    <m/>
  </r>
  <r>
    <x v="18"/>
    <x v="5"/>
    <x v="0"/>
    <n v="7157.5"/>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18"/>
    <x v="12"/>
    <x v="0"/>
    <n v="10465000"/>
    <x v="100"/>
    <x v="117"/>
    <s v="http://www.eib.org/projects/loans/2007/20070081.htm"/>
    <x v="30"/>
    <x v="0"/>
    <x v="0"/>
    <x v="107"/>
    <s v="EIB RESPONSE: The part of the EIB loan allocated to the coal CHP was 22% of the total loan, i.e 65 MEUR"/>
    <s v="http://www.eib.org/attachments/pipeline/20070081_nts1_pl.pdf"/>
    <n v="46"/>
    <n v="5.2351345667400004E-2"/>
    <n v="2.0940538266960003"/>
    <m/>
    <s v="Share of full power plant capacity of 184"/>
    <m/>
    <m/>
  </r>
  <r>
    <x v="18"/>
    <x v="6"/>
    <x v="0"/>
    <n v="4797025.7225509658"/>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8"/>
    <x v="6"/>
    <x v="0"/>
    <n v="6469618.9163542967"/>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18"/>
    <x v="1"/>
    <x v="0"/>
    <n v="665970.97306193784"/>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8"/>
    <x v="12"/>
    <x v="0"/>
    <n v="6858157.5609657103"/>
    <x v="101"/>
    <x v="118"/>
    <s v="http://www.eib.org/projects/loans/2009/20090514.htm"/>
    <x v="29"/>
    <x v="4"/>
    <x v="14"/>
    <x v="108"/>
    <m/>
    <s v="http://www.minind.ro/international/printable/ER1/ER1.318.06.pdf"/>
    <n v="66.25"/>
    <n v="7.5397318488374998E-2"/>
    <n v="3.0158927395349999"/>
    <m/>
    <s v="Share of full power plant capacity of 265"/>
    <m/>
    <m/>
  </r>
  <r>
    <x v="18"/>
    <x v="12"/>
    <x v="0"/>
    <n v="118169452.15940833"/>
    <x v="102"/>
    <x v="119"/>
    <s v="http://www.eib.org/projects/pipeline/2006/20060303.htm"/>
    <x v="43"/>
    <x v="0"/>
    <x v="0"/>
    <x v="109"/>
    <m/>
    <s v="http://www.promecon.com/en/power/projects/power-station-in-karlsruhe"/>
    <n v="255"/>
    <n v="0.29020854663450002"/>
    <n v="11.608341865380002"/>
    <m/>
    <s v="Share of full power plant capacity of 1020"/>
    <m/>
    <m/>
  </r>
  <r>
    <x v="18"/>
    <x v="1"/>
    <x v="0"/>
    <n v="12108563.146580689"/>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8"/>
    <x v="5"/>
    <x v="0"/>
    <n v="1441725"/>
    <x v="31"/>
    <x v="36"/>
    <s v="https://ijglobal.com/data/transaction/21533/khulna-ipp-150mw"/>
    <x v="23"/>
    <x v="0"/>
    <x v="0"/>
    <x v="34"/>
    <s v="ADB RESPONSE: This was not found in ADB project database."/>
    <m/>
    <m/>
    <n v="0"/>
    <n v="0"/>
    <m/>
    <m/>
    <m/>
    <m/>
  </r>
  <r>
    <x v="18"/>
    <x v="5"/>
    <x v="0"/>
    <n v="4090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18"/>
    <x v="5"/>
    <x v="0"/>
    <n v="569737"/>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18"/>
    <x v="30"/>
    <x v="2"/>
    <n v="101670000"/>
    <x v="194"/>
    <x v="266"/>
    <s v="https://ijglobal.com/data/transaction/18776/lower-wilgat-coal-mine-refinancing"/>
    <x v="37"/>
    <x v="1"/>
    <x v="24"/>
    <x v="2"/>
    <s v="Proceeds will be used for the refinancing in connection with the development, construction, operation and maintenance of coal mines in Mason County, West Virginia, Franklin and Williamson Counties, Illinois and Meigs County, Ohio."/>
    <m/>
    <m/>
    <n v="0"/>
    <n v="0"/>
    <m/>
    <m/>
    <m/>
    <m/>
  </r>
  <r>
    <x v="18"/>
    <x v="6"/>
    <x v="0"/>
    <n v="18425663.35256977"/>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8"/>
    <x v="2"/>
    <x v="0"/>
    <n v="1415126.451936122"/>
    <x v="3"/>
    <x v="3"/>
    <s v="http://www.shiftthesubsidies.org/projects/713"/>
    <x v="3"/>
    <x v="0"/>
    <x v="0"/>
    <x v="3"/>
    <m/>
    <m/>
    <n v="60"/>
    <n v="6.8284363914000015E-2"/>
    <n v="2.7313745565600005"/>
    <m/>
    <m/>
    <m/>
    <m/>
  </r>
  <r>
    <x v="18"/>
    <x v="2"/>
    <x v="0"/>
    <n v="481335.52786942926"/>
    <x v="4"/>
    <x v="4"/>
    <s v="http://www.shiftthesubsidies.org/projects/707"/>
    <x v="3"/>
    <x v="0"/>
    <x v="0"/>
    <x v="3"/>
    <m/>
    <m/>
    <n v="30"/>
    <n v="3.4142181957000008E-2"/>
    <n v="1.3656872782800002"/>
    <m/>
    <m/>
    <m/>
    <m/>
  </r>
  <r>
    <x v="18"/>
    <x v="0"/>
    <x v="0"/>
    <n v="377259.2318660366"/>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8"/>
    <x v="12"/>
    <x v="0"/>
    <n v="18466471.640521713"/>
    <x v="103"/>
    <x v="120"/>
    <s v="http://www.eib.org/projects/pipeline/2005/20050177.htm"/>
    <x v="45"/>
    <x v="4"/>
    <x v="14"/>
    <x v="29"/>
    <m/>
    <m/>
    <n v="400"/>
    <n v="0.45522909276000001"/>
    <n v="18.209163710399999"/>
    <m/>
    <s v="Share of full power plant capacity of 1600"/>
    <m/>
    <m/>
  </r>
  <r>
    <x v="18"/>
    <x v="6"/>
    <x v="0"/>
    <n v="3109330.6907461486"/>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8"/>
    <x v="5"/>
    <x v="0"/>
    <n v="18463282.5"/>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18"/>
    <x v="0"/>
    <x v="0"/>
    <n v="12968286.095395008"/>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8"/>
    <x v="3"/>
    <x v="0"/>
    <n v="2295092.8849862325"/>
    <x v="7"/>
    <x v="7"/>
    <s v="http://www.afdb.org/en/news-and-events/article/afdb-approves-eur-153-million-for-botswana-power-project-5255/"/>
    <x v="6"/>
    <x v="0"/>
    <x v="0"/>
    <x v="6"/>
    <m/>
    <m/>
    <n v="20"/>
    <n v="2.2761454637999997E-2"/>
    <n v="0.91045818551999991"/>
    <m/>
    <s v="Share of full power plant capacity of 600MW"/>
    <m/>
    <m/>
  </r>
  <r>
    <x v="18"/>
    <x v="3"/>
    <x v="0"/>
    <n v="46373857.266880117"/>
    <x v="8"/>
    <x v="8"/>
    <s v="http://www.afdb.org/en/projects-and-operations/project-portfolio/project/p-za-faa-001/"/>
    <x v="7"/>
    <x v="0"/>
    <x v="0"/>
    <x v="7"/>
    <m/>
    <m/>
    <n v="160"/>
    <n v="0.18209163710399998"/>
    <n v="7.2836654841599993"/>
    <m/>
    <s v="Share of full power plant capacity of 4800, split with WBG"/>
    <m/>
    <m/>
  </r>
  <r>
    <x v="18"/>
    <x v="3"/>
    <x v="0"/>
    <n v="1453397.8166947162"/>
    <x v="9"/>
    <x v="9"/>
    <s v="http://www.afdb.org/en/news-and-events/article/senior-loan-of-up-to-euro-55-million-to-sendou-power-project-in-senegal-5513/"/>
    <x v="8"/>
    <x v="0"/>
    <x v="0"/>
    <x v="7"/>
    <m/>
    <m/>
    <n v="8.3333333333333339"/>
    <n v="9.4839394324999996E-3"/>
    <n v="0.37935757729999997"/>
    <m/>
    <s v="Share of full power plant capacity of 125"/>
    <m/>
    <s v="Yes"/>
  </r>
  <r>
    <x v="18"/>
    <x v="5"/>
    <x v="0"/>
    <n v="92025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18"/>
    <x v="5"/>
    <x v="0"/>
    <m/>
    <x v="36"/>
    <x v="42"/>
    <s v="http://www.adb.org/sites/default/files/projdocs/2008/41958-PHI-RRP.pdf_x000a_http://www.adb.org/sites/default/files/projdocs/2008/41958-PHI-RRP.pdf"/>
    <x v="5"/>
    <x v="0"/>
    <x v="1"/>
    <x v="40"/>
    <n v="2454000"/>
    <m/>
    <m/>
    <n v="0"/>
    <n v="0"/>
    <m/>
    <s v="ADB Project 41958-014: Source of Funding - ADB Ordinary Capital Resources. ADB does not include in its list.; Power Plant emission are divided evenly among the G20 countries that provided funding to the projects. "/>
    <s v="CANCELLED"/>
    <m/>
  </r>
  <r>
    <x v="18"/>
    <x v="30"/>
    <x v="2"/>
    <n v="94120000"/>
    <x v="195"/>
    <x v="267"/>
    <s v="http://www.ijonline.com/data/transaction/26528/ratch-australia-refinancing-2013"/>
    <x v="33"/>
    <x v="0"/>
    <x v="25"/>
    <x v="56"/>
    <s v="Refinancing of the 2002 non-recourse project facility for International Power's 1,675MW brown coal-fired Hazelwood power station and adjacent long-life brown coal open cut mine in the Latrobe Valley, Victoria, 160km east of Melbourne. The restructured facility merges the previous two-tranche structure - a Aus$445 million Tranche B and a Aus$297 million Tranche A - into a single tranche facility."/>
    <m/>
    <m/>
    <n v="0"/>
    <n v="0"/>
    <m/>
    <m/>
    <m/>
    <m/>
  </r>
  <r>
    <x v="18"/>
    <x v="6"/>
    <x v="0"/>
    <n v="2690146.8494751859"/>
    <x v="38"/>
    <x v="44"/>
    <s v="http://www.ebrd.com/work-with-us/projects/psd/mak.html"/>
    <x v="9"/>
    <x v="1"/>
    <x v="2"/>
    <x v="42"/>
    <s v="Expansion of Eldev coal mine. Mongolyn Alt Corporation (‘MAK’ or the ‘Company’), a medium-sized Mongolian mining company producing coal"/>
    <m/>
    <m/>
    <n v="0"/>
    <n v="0"/>
    <m/>
    <s v="Yes"/>
    <m/>
    <m/>
  </r>
  <r>
    <x v="18"/>
    <x v="12"/>
    <x v="0"/>
    <n v="13723740.742281655"/>
    <x v="105"/>
    <x v="122"/>
    <s v="http://www.eib.org/projects/loans/2008/20080679.htm"/>
    <x v="30"/>
    <x v="0"/>
    <x v="0"/>
    <x v="111"/>
    <m/>
    <s v="http://www.banktrack.org/manage/ajax/ems_dodgydeals/createPDF/ostroleka_c_coal_and_biomass_power_plant"/>
    <n v="50.25"/>
    <n v="5.7188154777975002E-2"/>
    <n v="2.2875261911189999"/>
    <m/>
    <s v="Share of full power plant capacity of 201"/>
    <m/>
    <m/>
  </r>
  <r>
    <x v="18"/>
    <x v="1"/>
    <x v="0"/>
    <n v="681106.67699516367"/>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8"/>
    <x v="12"/>
    <x v="0"/>
    <n v="14325511.997638566"/>
    <x v="106"/>
    <x v="123"/>
    <s v="http://www.eib.org/projects/pipeline/2010/20100270.htm"/>
    <x v="30"/>
    <x v="0"/>
    <x v="0"/>
    <x v="112"/>
    <m/>
    <m/>
    <n v="39"/>
    <n v="4.4384836544100005E-2"/>
    <n v="1.7753934617640001"/>
    <m/>
    <s v="Share of full power plant capacity of 156"/>
    <m/>
    <m/>
  </r>
  <r>
    <x v="18"/>
    <x v="6"/>
    <x v="0"/>
    <n v="7311834.7986874059"/>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18"/>
    <x v="31"/>
    <x v="1"/>
    <n v="7409650.2311248071"/>
    <x v="196"/>
    <x v="268"/>
    <s v="https://www.gov.uk/government/uploads/system/uploads/attachment_data/file/222383/uk-export-finance-annual-report-and-accounts-2011-12.pdf"/>
    <x v="28"/>
    <x v="1"/>
    <x v="2"/>
    <x v="45"/>
    <s v="No specific date was reported by UKEF. It was reported by UKEF as occuring in FY11-12. UK fiscal years run from 1 April to 31 March. We allocated it to calendar year 2011. Currency was converted using the average rate for 2011 from the US Internal Revenue Service."/>
    <s v=" http://www.irs.gov/Individuals/International-Taxpayers/Yearly-Average-Currency-Exchange-Rates"/>
    <m/>
    <n v="0"/>
    <n v="0"/>
    <m/>
    <m/>
    <m/>
    <m/>
  </r>
  <r>
    <x v="18"/>
    <x v="6"/>
    <x v="0"/>
    <m/>
    <x v="42"/>
    <x v="48"/>
    <s v="http://www.ebrd.com/work-with-us/projects/psd/oltenia---turceni-rehabilitation.html"/>
    <x v="29"/>
    <x v="0"/>
    <x v="1"/>
    <x v="37"/>
    <m/>
    <m/>
    <m/>
    <n v="0"/>
    <n v="0"/>
    <m/>
    <s v="Financing for the rehabilitation and modernisation of unit 6 of CET Oltenia’s Turceni lignite fired power plant"/>
    <s v="CANCELLED"/>
    <m/>
  </r>
  <r>
    <x v="18"/>
    <x v="6"/>
    <x v="0"/>
    <n v="4974929.1051938375"/>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18"/>
    <x v="6"/>
    <x v="0"/>
    <n v="3163317.8843691777"/>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8"/>
    <x v="30"/>
    <x v="2"/>
    <n v="432700000"/>
    <x v="197"/>
    <x v="269"/>
    <s v="http://www.ijonline.com/data/transaction/22187/mahan-aluminium-complex"/>
    <x v="4"/>
    <x v="0"/>
    <x v="0"/>
    <x v="209"/>
    <s v="The Mahan Aluminium Complex Project will include a greenfield a 359-ktpa aluminium smelter and a 900MW captive thermal power plant. The greenfield smelter will be located in Madhya Pradesh state with a total production capacity of 359,000 tons per annum and is expected to start production in December 2011. Financing was signed in March 2011. The debt facility was provided by SBI Capital Markets Ltd, Citi Bank N.A., The Royal Bank of Scotland N.V. and Kotak Mahindra Bank Ltd. who acted as Mandated Lead Arrangers and 31 bank / insurance companies participated in the syndication."/>
    <m/>
    <n v="900"/>
    <n v="1.02426545871"/>
    <n v="40.970618348399995"/>
    <m/>
    <m/>
    <m/>
    <m/>
  </r>
  <r>
    <x v="18"/>
    <x v="0"/>
    <x v="0"/>
    <n v="21220831.792464558"/>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18"/>
    <x v="5"/>
    <x v="0"/>
    <n v="4090"/>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18"/>
    <x v="12"/>
    <x v="0"/>
    <n v="92899168.101598889"/>
    <x v="107"/>
    <x v="124"/>
    <s v="http://www.eib.org/attachments/pipeline/20060319_nts_en.pdf"/>
    <x v="31"/>
    <x v="0"/>
    <x v="0"/>
    <x v="113"/>
    <s v="Emissions counted from 2003 loan"/>
    <m/>
    <m/>
    <n v="0"/>
    <n v="0"/>
    <m/>
    <m/>
    <m/>
    <m/>
  </r>
  <r>
    <x v="18"/>
    <x v="31"/>
    <x v="1"/>
    <n v="14098904.603035418"/>
    <x v="196"/>
    <x v="270"/>
    <s v="https://www.gov.uk/government/uploads/system/uploads/attachment_data/file/222383/uk-export-finance-annual-report-and-accounts-2011-12.pdf"/>
    <x v="28"/>
    <x v="1"/>
    <x v="2"/>
    <x v="210"/>
    <s v="Based upon the date of the Independent article since UKEF doesn't announce the dates of individual deals. Was reported in UKEF's annual report for 2011-2012."/>
    <s v="http://www.independent.co.uk/news/uk/politics/coalition-breaks-green-pledge-with-siberian-coal-deal-2376878.html"/>
    <m/>
    <n v="0"/>
    <n v="0"/>
    <m/>
    <m/>
    <m/>
    <m/>
  </r>
  <r>
    <x v="18"/>
    <x v="12"/>
    <x v="0"/>
    <n v="25070873.909512851"/>
    <x v="108"/>
    <x v="125"/>
    <s v="http://www.eib.org/projects/pipeline/2006/20060319.htm"/>
    <x v="31"/>
    <x v="0"/>
    <x v="0"/>
    <x v="114"/>
    <m/>
    <s v="http://www.eib.org/infocentre/press/news/topical_briefs/2013-march-01/tes-thermal-power-plant-sostanj-project-slovenia.htm_x000a_http://www.eib.org/infocentre/press/releases/all/2007/2007-093-eib-supports-environmental-improvement-in-slovenia.htm"/>
    <n v="180"/>
    <n v="0.204853091742"/>
    <n v="8.1941236696799997"/>
    <m/>
    <s v="Share of full power plant capacity of 720"/>
    <m/>
    <m/>
  </r>
  <r>
    <x v="18"/>
    <x v="31"/>
    <x v="1"/>
    <n v="81748902.439024389"/>
    <x v="196"/>
    <x v="271"/>
    <s v="https://www.gov.uk/government/uploads/system/uploads/attachment_data/file/207721/ecgd-ukef-annual-report-and-accounts-2012-to-2013.pdf"/>
    <x v="28"/>
    <x v="1"/>
    <x v="2"/>
    <x v="49"/>
    <s v="No specific date was reported by UKEF. It was reported by UKEF as occuring in FY12-13. UK fiscal years run from 1 April to 31 March. We allocated it to calendar year 2012. Currency was converted using the average rate for 2011 from the US Internal Revenue Service."/>
    <s v=" http://www.irs.gov/Individuals/International-Taxpayers/Yearly-Average-Currency-Exchange-Rates"/>
    <m/>
    <n v="0"/>
    <n v="0"/>
    <m/>
    <m/>
    <m/>
    <m/>
  </r>
  <r>
    <x v="18"/>
    <x v="6"/>
    <x v="0"/>
    <n v="11884552.8624075"/>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8"/>
    <x v="30"/>
    <x v="2"/>
    <n v="25000000"/>
    <x v="198"/>
    <x v="272"/>
    <s v="http://www.ijonline.com/data/transaction/25563/cdhi-letter-of-credit"/>
    <x v="37"/>
    <x v="0"/>
    <x v="1"/>
    <x v="211"/>
    <s v="Amendment of the letter of credit facility related to CDHI to increase the facility from $200 million to $300 million and extend the maturity from December 11, 2012 to January 2, 2016."/>
    <m/>
    <m/>
    <n v="0"/>
    <n v="0"/>
    <m/>
    <m/>
    <m/>
    <m/>
  </r>
  <r>
    <x v="18"/>
    <x v="30"/>
    <x v="2"/>
    <n v="175000000"/>
    <x v="199"/>
    <x v="273"/>
    <s v="https://ijglobal.com/data/transaction/25654/arch-coal-corporate-facility"/>
    <x v="37"/>
    <x v="1"/>
    <x v="21"/>
    <x v="212"/>
    <m/>
    <m/>
    <m/>
    <n v="0"/>
    <n v="0"/>
    <m/>
    <m/>
    <m/>
    <m/>
  </r>
  <r>
    <x v="18"/>
    <x v="30"/>
    <x v="2"/>
    <n v="50050000"/>
    <x v="200"/>
    <x v="274"/>
    <s v="http://www.ijonline.com/data/transaction/22456/drax-power-station-refinancing-iii"/>
    <x v="58"/>
    <x v="0"/>
    <x v="1"/>
    <x v="213"/>
    <s v="Proceeds are to refinancing the development of the 4GW Drax Power Plant located in Selby, North Yorkshire, England. Previous refinancing was done in Jul 2011 and Dec 2005"/>
    <m/>
    <m/>
    <n v="0"/>
    <n v="0"/>
    <m/>
    <m/>
    <m/>
    <m/>
  </r>
  <r>
    <x v="18"/>
    <x v="1"/>
    <x v="0"/>
    <n v="1271399.1303909721"/>
    <x v="62"/>
    <x v="68"/>
    <s v="http://www.ebrd.com/work-with-us/projects/psd/eps-restructuring.html"/>
    <x v="34"/>
    <x v="2"/>
    <x v="4"/>
    <x v="66"/>
    <s v="Total Financing - $150 mil loan. As stated on the World Bank website under 'Details' - 'Sectors': Coal Mining - 7%. Amount included is $150 mil * .07 =$21,00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No link to coal. Wrong sector coding. There is no coal or coal mining in Cote D’Ivoire. "/>
    <s v="http://www.worldbank.org/projects/P122800/ci-egrg-econ-gov-recovery-4?lang=en&amp;tab=overview"/>
    <m/>
    <n v="0"/>
    <n v="0"/>
    <m/>
    <s v="WBG"/>
    <s v="Status: Closed"/>
    <m/>
  </r>
  <r>
    <x v="18"/>
    <x v="30"/>
    <x v="2"/>
    <n v="24390000"/>
    <x v="201"/>
    <x v="275"/>
    <m/>
    <x v="33"/>
    <x v="0"/>
    <x v="1"/>
    <x v="81"/>
    <s v="Refinancing facility for a portfolio of power assets in Australia. RATCH-Australia is owned by a major Thai power generation company, Ratchaburi Electricity Generating Holding PCL and Transfield Services Limited, an ASX listed engineering services company. RATCH-Australia is an independent power producer in Australia and owns a portfolio of power generation assets totalling 815 MW. These consist of ownership or an interest in four power stations and three wind farms. All of the assets are owned on a long term basis."/>
    <m/>
    <m/>
    <n v="0"/>
    <n v="0"/>
    <m/>
    <m/>
    <m/>
    <m/>
  </r>
  <r>
    <x v="18"/>
    <x v="0"/>
    <x v="0"/>
    <n v="848833.27169858234"/>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8"/>
    <x v="30"/>
    <x v="2"/>
    <n v="100000000"/>
    <x v="202"/>
    <x v="276"/>
    <s v="https://ijglobal.com/data/transaction/28486/suek-corporate-facility-refinancing"/>
    <x v="28"/>
    <x v="1"/>
    <x v="24"/>
    <x v="214"/>
    <s v="The facility will be used for refinancing of existing debt and gereal corporate purposes. SUEK Siberian Coal Energy Company is the leading Russian coal company, the largest producer and supplier of coal in the nation, and one of the major global players in its sector."/>
    <m/>
    <m/>
    <n v="0"/>
    <n v="0"/>
    <m/>
    <m/>
    <m/>
    <m/>
  </r>
  <r>
    <x v="18"/>
    <x v="1"/>
    <x v="0"/>
    <n v="454071.11799677578"/>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8"/>
    <x v="0"/>
    <x v="0"/>
    <n v="6930723.6634189254"/>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8"/>
    <x v="30"/>
    <x v="2"/>
    <n v="207380000"/>
    <x v="203"/>
    <x v="277"/>
    <s v="https://ijglobal.com/data/transaction/33041/bhp-billiton-refinancing-2014"/>
    <x v="33"/>
    <x v="1"/>
    <x v="24"/>
    <x v="0"/>
    <s v="The proceeds will be used to refinance the existing facilities of BHP Billiton, a mining company in Australia. The refinancing resulted in the cancellation of existing $5bn and $1bn multicurrency credit facilities. The financing includes a revolving facility of $6000m arranged by a consortium of 29 banks. The facility has a tenure of 5 years and has two one-year extension options. It will used for general corporate purposes."/>
    <m/>
    <m/>
    <n v="0"/>
    <n v="0"/>
    <m/>
    <m/>
    <m/>
    <m/>
  </r>
  <r>
    <x v="18"/>
    <x v="3"/>
    <x v="0"/>
    <n v="3500054.9468867341"/>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18"/>
    <x v="6"/>
    <x v="0"/>
    <n v="7574605.9476079065"/>
    <x v="50"/>
    <x v="55"/>
    <s v="http://www.ebrd.com/work-with-us/projects/psd/tgk13-capacity-financing-.html"/>
    <x v="28"/>
    <x v="0"/>
    <x v="1"/>
    <x v="53"/>
    <m/>
    <m/>
    <n v="15.416666666666666"/>
    <n v="1.7545287950124999E-2"/>
    <n v="0.70181151800499997"/>
    <m/>
    <m/>
    <m/>
    <m/>
  </r>
  <r>
    <x v="18"/>
    <x v="3"/>
    <x v="0"/>
    <n v="19687809.07623788"/>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r>
    <x v="18"/>
    <x v="6"/>
    <x v="0"/>
    <n v="2616444.1960649067"/>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8"/>
    <x v="5"/>
    <x v="0"/>
    <n v="276075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18"/>
    <x v="4"/>
    <x v="0"/>
    <n v="23655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9"/>
    <x v="0"/>
    <x v="0"/>
    <n v="110938460.20155148"/>
    <x v="0"/>
    <x v="0"/>
    <s v="http://www-wds.worldbank.org/external/default/WDSContentServer/WDSP/IB/2014/03/22/000414397_20140324123257/Rendered/PDF/PID0Pakistan0P00DPC0March012002014.pdf"/>
    <x v="0"/>
    <x v="0"/>
    <x v="0"/>
    <x v="0"/>
    <s v="Equity investment in ACWA Power / International Company for Water and Power projects includes support for a 270 MW coal power plant in Mozambique and a 450 MW coal power plant in South Africa.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_x000a__x000a_Bank Response: IFC’s financing agreements explicitly state that IFC funds cannot be used in ACWA coal projects. Funds from the IFC disbursement to ACWA were used in renewable energy projects. Note: ACWA’s coal projects have yet to reach financial close."/>
    <m/>
    <n v="37.89473684210526"/>
    <n v="4.3126966682526316E-2"/>
    <n v="1.7250786673010525"/>
    <m/>
    <s v="Share of full power plant capacity of 720MW"/>
    <s v="Active"/>
    <m/>
  </r>
  <r>
    <x v="19"/>
    <x v="1"/>
    <x v="0"/>
    <n v="117530.20313495335"/>
    <x v="15"/>
    <x v="17"/>
    <s v="http://www.worldbank.org/projects/P104983/additional-financing-mineral-resources-governance-project?lang=en"/>
    <x v="13"/>
    <x v="2"/>
    <x v="4"/>
    <x v="15"/>
    <s v="Total Financing - IDA ($8.0 m.). As stated on the World Bank website under 'Details' - 'Sectors': Central government administration - 68%, Sub-national government administration - 18%, Coal Mining - 14%. Amount included is 8,000,000 * .14=$1,12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e project did not finance anything related to coal.  Madagascar has one potential coal deposit but it was not developed. "/>
    <s v="http://www.worldbank.org/projects/P104983/additional-financing-mineral-resources-governance-project?lang=en"/>
    <m/>
    <n v="0"/>
    <n v="0"/>
    <m/>
    <s v="WBG"/>
    <s v="Status: Closed"/>
    <s v="Yes"/>
  </r>
  <r>
    <x v="19"/>
    <x v="1"/>
    <x v="0"/>
    <n v="440738.26175607502"/>
    <x v="16"/>
    <x v="18"/>
    <s v="http://www.ebrd.com/work-with-us/projects/psd/pavlodar-energo.html"/>
    <x v="14"/>
    <x v="1"/>
    <x v="5"/>
    <x v="16"/>
    <s v="Loan (General energy - 69%) The objectives of the Second Additional Financing for the Energy Sector Clean-Up and Land Reclamation Project (CLRP) are to: a) address environmental legacy issues related to open dumping of ashes on land; b) enable Kosovo Energy Corporation (KEK) to free land for community development purposes currently taken by overburden materials and enable KEK to remediate the Kosovo A ash dump; and c) build capacity in KEK for continued clean-up and environmentally good practice mining operations._x000a__x000a_Bank response: Original 2006 project included preparation of Mirash Open Pit Mine for Ash Management; Remediation of Kosovo A Ash Dump; Reclamation of Overburden Dump Areas. Additional Financing funds tree planting in overburden areas; scale-up of ongoing tar deposits/tar sludge removal"/>
    <m/>
    <m/>
    <n v="0"/>
    <n v="0"/>
    <m/>
    <s v="WBG"/>
    <s v="Active"/>
    <m/>
  </r>
  <r>
    <x v="19"/>
    <x v="4"/>
    <x v="0"/>
    <n v="30834000"/>
    <x v="17"/>
    <x v="19"/>
    <s v="http://www.worldbank.org/projects/P100101/coal-fired-generation-rehabilitation?lang=en&amp;tab=overview"/>
    <x v="4"/>
    <x v="0"/>
    <x v="1"/>
    <x v="17"/>
    <s v="The objective of the Coal Fired Generation Rehabilitation Project for India is to improve energy efficiency of selected coal-fired power generation units. There are two components to the project, the first component being Energy Efficient Renovation and Modernization (EE R&amp;M) pilots. This component will renovate and modernize 640 Mega Watts (MW) of old coal-fired power generation capacity to demonstrate energy efficient rehabilitation approaches.The second component is the technical assistance._x000a__x000a_Bank response: Restructured: 420MW to be repaired not 640MW. Project aims to improve energy efficiency of selected power generation units through renovation and modernization &amp; improved operations and maintenance. A significant co-benefit is the reduction of greenhouse gas emissions per kilowatt hour of electricity generated. "/>
    <m/>
    <n v="22.105263157894736"/>
    <n v="2.5157397231473682E-2"/>
    <n v="1.0062958892589473"/>
    <m/>
    <s v="Share of full power plant capacity of 420MW"/>
    <s v="Active (restructured)"/>
    <m/>
  </r>
  <r>
    <x v="19"/>
    <x v="6"/>
    <x v="0"/>
    <n v="11400949.904207794"/>
    <x v="51"/>
    <x v="56"/>
    <s v="http://www.ebrd.com/work-with-us/projects/psd/energy-resources-phase-ii.html"/>
    <x v="9"/>
    <x v="1"/>
    <x v="2"/>
    <x v="54"/>
    <s v="The coal mine was to begin in early 2009 with the mining of about 0.6 Mtpa of coking coal. The the second development phase will increase the production to 1.75 Mtpa of cleaned coking coal_x000a_EBRD RESPONSE: coking coal investment"/>
    <s v="http://www.ebrd.com/pages/project/eia/39820.pdf"/>
    <m/>
    <n v="0"/>
    <n v="0"/>
    <n v="0.3"/>
    <m/>
    <m/>
    <m/>
  </r>
  <r>
    <x v="19"/>
    <x v="6"/>
    <x v="0"/>
    <n v="10843643.28524401"/>
    <x v="52"/>
    <x v="57"/>
    <s v="http://www.ebrd.com/work-with-us/projects/psd/eps-kolubara-environmental-improvement.html"/>
    <x v="26"/>
    <x v="1"/>
    <x v="2"/>
    <x v="55"/>
    <s v="Finance for the purchase of (1) a coal excavator, conveyor and spreader system for Field C of the Kolubara mining basin,_x000a_(2) a spreader system for the Tamnava West field and_x000a_(3) a coal management system for the whole of the Kolubara mining operations_x000a_EBRD RESPONSE: Can not recognize this amount/project. EBRD extended a loan to EPS to refinance short to medium-term financial debt which EPS has entered into with commercial banks (negotiations are currently on-going) in order to alleviate critical cash situation created by the unprecedented and catastrophic floods in Serbia "/>
    <s v="http://bankwatch.org/our-work/projects/kolubara-lignite-mine-serbia%20million%20tonnes"/>
    <m/>
    <n v="0"/>
    <n v="0"/>
    <m/>
    <m/>
    <m/>
    <m/>
  </r>
  <r>
    <x v="19"/>
    <x v="4"/>
    <x v="0"/>
    <n v="171300000"/>
    <x v="17"/>
    <x v="21"/>
    <s v="http://web.worldbank.org/external/projects/main?Projectid=P115566&amp;theSitePK=40941&amp;piPK=64290415&amp;pagePK=64283627&amp;menuPK=64282134&amp;Type=Overview"/>
    <x v="4"/>
    <x v="3"/>
    <x v="6"/>
    <x v="19"/>
    <s v="This financing is to support India's Fifth Power System Development Project to strengthen India's electricity transmission system in order to increase reliable power exchange between regions and states. This transmission and distribution will be fed by a massive expansion of coal-fired power plants, being planned or under construction, as part of the government's Ultra Mega Power Project (UMPP). In total, 16 coal-fired plants are planned or under construction.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roject. It aims to boost the transfer capacity of the regional transmission networks in India. The reliable and stable operation of regional grids facilitates the timely transfer of power from regions with surplus energy to deficit regions for optimal use of scarce energy resources."/>
    <m/>
    <m/>
    <n v="0"/>
    <n v="0"/>
    <m/>
    <s v="WBG"/>
    <s v="Active"/>
    <m/>
  </r>
  <r>
    <x v="19"/>
    <x v="0"/>
    <x v="0"/>
    <n v="10317276.798744287"/>
    <x v="19"/>
    <x v="22"/>
    <s v="http://www.ifc.org/ifcext/spiwebsite1.nsf/0/6C8635DAD5934D04852576BA000E2D1B"/>
    <x v="4"/>
    <x v="2"/>
    <x v="3"/>
    <x v="20"/>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m/>
    <m/>
    <n v="0"/>
    <n v="0"/>
    <m/>
    <s v="21.5 mil Risk Management Guarantee, 25 mil loan. Himadri Chemicals &amp; Industries Limited (&quot;Himadri&quot; or the &quot;Company&quot;) is India's largest producer of coal tar pitch which is utilized in the production of aluminum and graphite. _x000a__x000a_Bank response: Manufacturing project that includes power generation. This project includes 12 MW of power generation, but the heat source for this is waste heat from the process: it is not a pure coal-based power plant."/>
    <s v="Active"/>
    <m/>
  </r>
  <r>
    <x v="19"/>
    <x v="4"/>
    <x v="0"/>
    <n v="5070480"/>
    <x v="20"/>
    <x v="23"/>
    <s v="http://www.worldbank.org/projects/P118916/infrastructure-guarantee-fund?lang=en"/>
    <x v="16"/>
    <x v="2"/>
    <x v="4"/>
    <x v="21"/>
    <s v="The development objective is to strengthen the Indonesia Infrastructure Guarantee Fund (IIGF) Project as a single window institution to appraise infrastructure Public Private Partnership (PPP) projects requiring government guarantees. The full amount of this loan is counted towards coal because of the dominance of coal in the IIGF project line-up. The first project to receive an IIGF guarantee was the 2,000 MW coal-powered Central Java Power Project (or Jawa Tengah Power Plan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Strengthens the Indonesia Infrastructure Guarantee Fund to appraise infrastructure Public Private Partnership (PPP) projects requiring government guarantees. IIGF may only use WB finance to guarantee PPPs that meet strict criteria related to energy security; increasing energy access; preparing low carbon sub projects; energy efficiency. Oil Change has previously suggested that IIGF included a large supercritical coal plant for which IFC provided transaction advisory services (prior to the Energy Directions Paper). No WBG financing is involved.  "/>
    <m/>
    <m/>
    <n v="0"/>
    <n v="0"/>
    <m/>
    <s v="WBG"/>
    <s v="Active"/>
    <m/>
  </r>
  <r>
    <x v="19"/>
    <x v="5"/>
    <x v="0"/>
    <n v="77570"/>
    <x v="39"/>
    <x v="45"/>
    <m/>
    <x v="11"/>
    <x v="0"/>
    <x v="0"/>
    <x v="43"/>
    <s v="ADB Project 42117- 013: Source of Funding - ADB Ordinary Capital Resources and ADB/Climate Change Fund. Loan and grant. Integrated gasification combined cycle (IGCC)_x000a_ADB RESPONSE: This is a Policy Advisory Technical Assistance. ADB does not count it as part of its loan investments"/>
    <m/>
    <n v="46.153846153846153"/>
    <n v="5.2526433780000006E-2"/>
    <n v="2.1010573512000001"/>
    <m/>
    <s v="Share of full power plant capacity of 600"/>
    <m/>
    <m/>
  </r>
  <r>
    <x v="19"/>
    <x v="6"/>
    <x v="0"/>
    <n v="1594847.0437872568"/>
    <x v="53"/>
    <x v="58"/>
    <s v="http://www.ebrd.com/work-with-us/projects/psd/leighton-mongolia.html"/>
    <x v="9"/>
    <x v="1"/>
    <x v="2"/>
    <x v="56"/>
    <s v="Initial working capital, and part of the costs for the equipment required for contract mining of the UHG coking coal mine_x000a_EBRD RESPONSE: coking coal investment"/>
    <m/>
    <m/>
    <n v="0"/>
    <n v="0"/>
    <m/>
    <m/>
    <m/>
    <m/>
  </r>
  <r>
    <x v="19"/>
    <x v="1"/>
    <x v="0"/>
    <n v="209875.36274098812"/>
    <x v="21"/>
    <x v="24"/>
    <s v="http://www.worldbank.org/projects/P106580/lptap-additional-financing-1?lang=en"/>
    <x v="17"/>
    <x v="2"/>
    <x v="4"/>
    <x v="22"/>
    <s v="Technical Assistance Grant NOTE: While only 16% is specifically listed as being in the &quot;coal mining&quot; sector, the entire project appears to be coal related). Sectors: Central government Administration - 68%, General energy sector - 16%, Coal Mining - 16%.The additional financing for Kosovo Lignite power technical assistance is to provide the Project Steering Committee with sufficient financing to execute the contracts with the successful bidders for the transaction advisory and the legal and regulatory advisory services, so that these advisors can assist the PSC in dealing with prospective private investors in a proposed multi-billion dollar lignite mining and power plant development (the New Minemew Plant) and in possible future energy sector developments._x000a__x000a_Bank Response: Project supported lignite policy and use of lignite for power.  "/>
    <m/>
    <m/>
    <n v="0"/>
    <n v="0"/>
    <m/>
    <s v="WBG"/>
    <s v="Status: Closed"/>
    <m/>
  </r>
  <r>
    <x v="19"/>
    <x v="4"/>
    <x v="0"/>
    <n v="4864000"/>
    <x v="8"/>
    <x v="25"/>
    <s v="http://www.worldbank.org/projects/P116410/eskom-investment-support-project?lang=en"/>
    <x v="7"/>
    <x v="0"/>
    <x v="0"/>
    <x v="23"/>
    <s v="3,750 mil loan with 19% to renewables and efficiency. Amount to coal is .81 * $3,750 mil for financing to the South African public-enterprise Eskom to build the controversial 4,800MW Medupi supercritical coal-fired power plant in the Lephalale, Limpopo Province._x000a__x000a_Bank response: Project includes coal power plant. This investment incudes a 100MW wind power project (completed) and a 100MW Concentrated Solar Plant (underway) as well as financing and technical assistance for energy efficiency."/>
    <m/>
    <n v="126.31578947368421"/>
    <n v="0.14375655560842107"/>
    <n v="5.7502622243368426"/>
    <m/>
    <s v="Share of full power plant capacity of 4800, split with AfDB"/>
    <s v="Active"/>
    <m/>
  </r>
  <r>
    <x v="19"/>
    <x v="6"/>
    <x v="0"/>
    <n v="1878732.0065407231"/>
    <x v="51"/>
    <x v="60"/>
    <s v="http://www.ebrd.com/work-with-us/projects/psd/mongolia-mining-corporation.html"/>
    <x v="9"/>
    <x v="1"/>
    <x v="2"/>
    <x v="58"/>
    <s v="EBRD RESPONSE: coking coal investment"/>
    <m/>
    <m/>
    <n v="0"/>
    <n v="0"/>
    <m/>
    <s v="Equity financing to establish a medium-size coking  coal mining operation at Ukhaa Hudag (UHG) deposit in southern Mongolia."/>
    <m/>
    <m/>
  </r>
  <r>
    <x v="19"/>
    <x v="4"/>
    <x v="0"/>
    <n v="64932978"/>
    <x v="7"/>
    <x v="7"/>
    <s v="http://www-wds.worldbank.org/external/default/WDSContentServer/WDSP/IB/2011/02/04/000334955_20110204023727/Rendered/PDF/593910BRI0Bots10Box358280B01PUBLIC1.pdf"/>
    <x v="6"/>
    <x v="0"/>
    <x v="0"/>
    <x v="24"/>
    <s v="$242.7 mil partial risk guarantee and $136.4 mil loan. Includes construction of Morupule B power station a 600 MW coal-fired power station, adjacent to the existing Morupule A Power Station near Palapye, in the eastern part of the country; transmission system and water supply system._x000a__x000a_Bank response: Project included transmission line and water supply to power plant.  Partial credit guarantee to coal power project. "/>
    <m/>
    <n v="15.789473684210526"/>
    <n v="1.7969569451052634E-2"/>
    <n v="0.71878277804210533"/>
    <m/>
    <s v="Share of full power plant capacity of 600MW, split with AfDB"/>
    <s v="Status: Closed"/>
    <m/>
  </r>
  <r>
    <x v="19"/>
    <x v="1"/>
    <x v="0"/>
    <n v="1269745.944582978"/>
    <x v="22"/>
    <x v="26"/>
    <s v="http://www.ebrd.com/work-with-us/projects/psd/mak.html"/>
    <x v="18"/>
    <x v="2"/>
    <x v="4"/>
    <x v="25"/>
    <s v="Total Loan: $110 mil As stated on the World Bank website under 'Details' - 'Sectors': Other Mining and Extractive Industries 22% The government is currently revising the mining and petroleum legislation, supported by this PRSC series. Given focus on coal mining, 11% counted for coal mining regulations.Coal mining extensively referenced in project documents _x000a__x000a_Bank Response: Among other things, this DPL supported Mozambique becoming EITI compliant and improving mining sector laws. Included a trigger for coverage of the legal framework managing mining and petroleum activities."/>
    <s v="_x000a__x000a_http://www-wds.worldbank.org/external/default/WDSContentServer/WDSP/IB/2013/06/26/000356161_20130626114537/Rendered/PDF/751170PGD0P131010Box0377356B0OUO090.pdf_x000a_http://www-wds.worldbank.org/external/default/WDSContentServer/WDSP/IB/2013/06/13/000001843_20130618125021/Rendered/PDF/PID000Appraisal0Stage000MZ0PRSC9.pdf"/>
    <m/>
    <n v="0"/>
    <n v="0"/>
    <m/>
    <s v="WBG"/>
    <s v="Status: Closed"/>
    <s v="Yes"/>
  </r>
  <r>
    <x v="19"/>
    <x v="0"/>
    <x v="0"/>
    <n v="6212553.7712868834"/>
    <x v="23"/>
    <x v="27"/>
    <s v="https://ifcndd.ifc.org/ifcext/spiwebsite1.nsf/78e3b305216fcdba85257a8b0075079d/f31022fd70f070f785257a62005d3f59?opendocument"/>
    <x v="9"/>
    <x v="2"/>
    <x v="4"/>
    <x v="26"/>
    <s v="IFC's  investment is a $400 million senior A Loan together with a B Loan of up to $600 million loan to be syndicated to international commercial banks, as part of a proposed $4billion project debt financing. The total project cost $7.1 billion. The coal plant cost $500 million, representing 7% of project costs. Amount included is $400 mil *.07 = $28,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Not a coal power plant. IFC financing is on hold. If it goes ahead, it would support the copper and gold mine. If the sponsor Rio Tinto decides to build a power plant at an associated facility, IFC would require Rio to ascertain all possible alternatives to coal for such a power plant."/>
    <m/>
    <n v="39.473684210526315"/>
    <n v="4.4923923627631576E-2"/>
    <n v="1.7969569451052632"/>
    <m/>
    <s v="Share of full power plant capacity of 720MW"/>
    <m/>
    <m/>
  </r>
  <r>
    <x v="19"/>
    <x v="0"/>
    <x v="0"/>
    <n v="10095399.878341185"/>
    <x v="24"/>
    <x v="28"/>
    <s v="http://ifcext.ifc.org/ifcext/spiwebsite1.nsf/ProjectDisplay/SPI_DP28966"/>
    <x v="19"/>
    <x v="1"/>
    <x v="7"/>
    <x v="27"/>
    <s v="Loan 26.5 mil, Equity $19.1 mil. The Project will... (iii) enable handling and storage of imported coal in Pakistan in an environmentally responsible manner while ensuring high level of safety as per international standards…_x000a__x000a_Bank response: An investment in a non-food dry bulk cargo terminal that can handle a variety of minerals including coal. It is being designed to handle bulk cement exports. "/>
    <m/>
    <m/>
    <n v="0"/>
    <n v="0"/>
    <m/>
    <s v="WBG"/>
    <s v="Active"/>
    <m/>
  </r>
  <r>
    <x v="19"/>
    <x v="5"/>
    <x v="0"/>
    <n v="139707448.5"/>
    <x v="25"/>
    <x v="35"/>
    <m/>
    <x v="19"/>
    <x v="0"/>
    <x v="0"/>
    <x v="33"/>
    <s v="ABD Project 47094-001: Source of Funding - ADB Ordinary Capital Resources ($870 million) &amp; ADB/Asian Development Fund ($30 million). Loan (Dec 2013) and Grant (Aug 2013) Supercritical; Power Plant emission are divided evenly among the G20 countries that provided funding to the projects. _x000a_ADB RESPONSE: Confirmed"/>
    <s v="http://www.adb.org/projects/47094-001/main"/>
    <n v="46.153846153846153"/>
    <n v="5.2526433780000006E-2"/>
    <n v="2.1010573512000001"/>
    <m/>
    <s v="Share of full power plant capacity of 600"/>
    <m/>
    <m/>
  </r>
  <r>
    <x v="19"/>
    <x v="1"/>
    <x v="0"/>
    <n v="29382.550783738337"/>
    <x v="26"/>
    <x v="30"/>
    <s v="http://www.ebrd.com/work-with-us/projects/psd/eps-restructuring.html"/>
    <x v="20"/>
    <x v="2"/>
    <x v="4"/>
    <x v="28"/>
    <s v="Total Financing - $10 mil loan.  As stated on the World Bank website under 'Details' - 'Sectors': 2% coal mining and 26% Public administration- Energy and mining. Amount included is $10 mil *.28 = 2,800,000._x000a__x000a_Bank Response: The project is, among other things, helping prepare Tajikistan for candidate country status for EITI that enables it to seek “compliant country” status. The project does not finance mining or coal exploitation activities – it focuses on regulatory updates and provision of training for government officials. "/>
    <s v="http://www.worldbank.org/projects/P130091/private-sector-competitiveness?lang=en&amp;tab=overview"/>
    <m/>
    <n v="0"/>
    <n v="0"/>
    <m/>
    <s v="WBG"/>
    <s v="Active"/>
    <m/>
  </r>
  <r>
    <x v="19"/>
    <x v="6"/>
    <x v="0"/>
    <n v="3413926.8738524751"/>
    <x v="55"/>
    <x v="62"/>
    <s v="http://www.ebrd.com/work-with-us/projects/psd/sadovaya-coal-recycling.html"/>
    <x v="21"/>
    <x v="2"/>
    <x v="9"/>
    <x v="59"/>
    <s v="Financing for the establishment of a coal recycling business to produce energy coal from waste dumps and tailing ponds in Eastern Ukraine._x000a_EBRD RESPONSE: Coal recycling of coking coal. "/>
    <m/>
    <m/>
    <n v="0"/>
    <n v="0"/>
    <m/>
    <m/>
    <m/>
    <m/>
  </r>
  <r>
    <x v="19"/>
    <x v="6"/>
    <x v="0"/>
    <n v="2872756.2434788235"/>
    <x v="56"/>
    <x v="63"/>
    <s v="http://www.ebrd.com/work-with-us/projects/psd/saturn-biomass-.html"/>
    <x v="30"/>
    <x v="0"/>
    <x v="1"/>
    <x v="60"/>
    <s v="Part of the loan went for large repairs, modernizations and new investments into the existing coal installations.  _x000a_EBRD RESPONSE: Financed the extension of the existing combined heat and power facility, which includes the conversion of the existing coal boiler into a biofuel boiler."/>
    <s v="http://bankwatch.org/sites/default/files/comments-EBRD-SEI-28Nov2011.pdf"/>
    <m/>
    <n v="0"/>
    <n v="0"/>
    <m/>
    <m/>
    <m/>
    <m/>
  </r>
  <r>
    <x v="19"/>
    <x v="0"/>
    <x v="0"/>
    <n v="164188921.0982962"/>
    <x v="1"/>
    <x v="1"/>
    <s v="http://ifcext.ifc.org/ifcext/spiwebsite1.nsf/ProjectDisplay/SPI_DP26466"/>
    <x v="1"/>
    <x v="0"/>
    <x v="0"/>
    <x v="1"/>
    <s v="A' loan of $150 mil, 'B' loan of up to $590 million The project provides financing for construction and operation of circulated fluidized bed technology thermal power units in northern Chile to be fired by a combination of coal, petroleum coke, and biomass fuels."/>
    <m/>
    <n v="17.368421052631579"/>
    <n v="1.9766526396157894E-2"/>
    <n v="0.79066105584631574"/>
    <m/>
    <s v="WBG"/>
    <s v="Status: Closed"/>
    <m/>
  </r>
  <r>
    <x v="19"/>
    <x v="5"/>
    <x v="0"/>
    <n v="54299"/>
    <x v="28"/>
    <x v="32"/>
    <m/>
    <x v="9"/>
    <x v="1"/>
    <x v="2"/>
    <x v="30"/>
    <s v="Coal-to-liquids_x000a_ADB Project 48029-001: Source of Funding - ADB/Technical Assistance Special Fund ($0.35 m.). Coal-to-liquid (CTL) process. _x000a_ADB RESPONSE: This is a Policy Advisory Technical Assistance. ADB does not count it as part of its loan investments"/>
    <s v="http://www.adb.org/sites/default/files/project-document/150799/48029-001-tar.pdf"/>
    <m/>
    <n v="0"/>
    <n v="0"/>
    <m/>
    <m/>
    <m/>
    <m/>
  </r>
  <r>
    <x v="19"/>
    <x v="0"/>
    <x v="0"/>
    <n v="5546923.0100775743"/>
    <x v="18"/>
    <x v="20"/>
    <s v="http://ifcext.ifc.org/ifcext/spiwebsite1.nsf/ProjectDisplay/SPI_DP25849"/>
    <x v="15"/>
    <x v="0"/>
    <x v="0"/>
    <x v="18"/>
    <m/>
    <s v="http://www.adb.org/sites/default/files/projdocs/2008/41946-IND-RRP.pdf"/>
    <n v="1.5"/>
    <n v="1.7071090978499999E-3"/>
    <n v="6.8284363914000001E-2"/>
    <m/>
    <s v="The total project cost is estimated to be $73 million; the IFC loan is for $25 million. The investment is targeted at several aspects of the company's business including a 30-MW captive power plant._x000a_Manufacturing project that includes power generation. Some of the proceeds of IFC’s loan supported a captive power plant supporting Electrotherm’s steel business. "/>
    <s v="Active"/>
    <m/>
  </r>
  <r>
    <x v="19"/>
    <x v="6"/>
    <x v="0"/>
    <n v="5631965.7524211816"/>
    <x v="29"/>
    <x v="33"/>
    <s v="http://www.ebrd.com/news/2011/ebrd-extends-energy-efficiency-investments-in-kazakhstan.html"/>
    <x v="22"/>
    <x v="0"/>
    <x v="1"/>
    <x v="31"/>
    <s v="Replacement of some low efficiency and high carbon intensity units like turbine-generator, boilers and back-up systems"/>
    <m/>
    <n v="5"/>
    <n v="5.6903636594999992E-3"/>
    <n v="0.22761454637999998"/>
    <m/>
    <s v="Yes"/>
    <m/>
    <m/>
  </r>
  <r>
    <x v="19"/>
    <x v="6"/>
    <x v="0"/>
    <n v="7103395.5789456656"/>
    <x v="30"/>
    <x v="34"/>
    <s v="http://www.ebrd.com/news/2012/ebrd-lends-to-ukraines-coal-energy.html"/>
    <x v="21"/>
    <x v="1"/>
    <x v="2"/>
    <x v="32"/>
    <s v="Development of Coal Energy’s waste coal recycling and beneficiation businesses, as well as mechanisation, energy efficiency and environmental, health &amp; safety (“EHS”) upgrades at its priority mines_x000a_EBRD RESPONSE: This project has been partially cancelled"/>
    <m/>
    <m/>
    <n v="0"/>
    <n v="0"/>
    <m/>
    <m/>
    <m/>
    <m/>
  </r>
  <r>
    <x v="19"/>
    <x v="1"/>
    <x v="0"/>
    <n v="1154314.4950754347"/>
    <x v="2"/>
    <x v="2"/>
    <s v="http://www.worldbank.org/projects/P101392/emergency-energy-assistance?lang=en"/>
    <x v="2"/>
    <x v="0"/>
    <x v="1"/>
    <x v="2"/>
    <m/>
    <m/>
    <m/>
    <n v="0"/>
    <n v="0"/>
    <m/>
    <s v="IDA (grant - $5.5 m.), IDA (loan - $5.5 m.). 1. Provision of low sulfur fuel oil to the Bishkek and Osh combined heat and power plants; 2. Provision of brass pipes; 3. Provision of coal handling equipment; 4. Rehabilitation of electrostatic precipitators. The beneficiary of the project is the Kyrgyz Republic Power Plant Corporation._x000a__x000a_Project aimed to increase the volume, reliability of national energy supply in winter through rehab of electricity and heat systems in Power Plant_x000a_Company, including provision of low sulfur fuel oil to the Bishkek and Osh combined heat and power plants_x000a__x000a_WB says date is 3/31/2012 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
    <s v="Status: Closed"/>
    <m/>
  </r>
  <r>
    <x v="19"/>
    <x v="1"/>
    <x v="0"/>
    <n v="20987536.27409881"/>
    <x v="25"/>
    <x v="29"/>
    <s v="http://www.ebrd.com/work-with-us/projects/psd/mongolia-mining-corporation.html"/>
    <x v="19"/>
    <x v="2"/>
    <x v="4"/>
    <x v="0"/>
    <s v="Total Financing - IDA ($600.0 m.). As stated on the World Bank website under 'Details' - 'Sectors':General energy - 100%. Power sector development strategy anticipates an increase in coal projects. Project finance amount split evenly between three power sources listed in program document (coal, hydro, and natural gas). Amount listed is $600,000,000 *.33 = $200,000,000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Bank Response: This is not a “coal policy loan”. The reform program is helping set the power sector on a more environmentally sustainable path.  From 2019, there will be a shift towards hydropower and natural gas in the generation mix. One coal plant at Jamshoro is expected to enter service. It will be financed by ADB."/>
    <s v="http://www-wds.worldbank.org/external/default/WDSContentServer/WDSP/IB/2014/04/11/000442464_20140411094222/Rendered/PDF/860310PGD0P128000Box385177B00OUO090.pdf"/>
    <m/>
    <n v="0"/>
    <n v="0"/>
    <m/>
    <s v="WBG"/>
    <s v="Active"/>
    <m/>
  </r>
  <r>
    <x v="19"/>
    <x v="5"/>
    <x v="0"/>
    <n v="10937370"/>
    <x v="31"/>
    <x v="36"/>
    <s v="https://ijglobal.com/data/transaction/21533/khulna-ipp-150mw"/>
    <x v="23"/>
    <x v="0"/>
    <x v="0"/>
    <x v="34"/>
    <s v="ADB RESPONSE: This was not found in ADB project database."/>
    <m/>
    <m/>
    <n v="0"/>
    <n v="0"/>
    <m/>
    <m/>
    <m/>
    <m/>
  </r>
  <r>
    <x v="19"/>
    <x v="5"/>
    <x v="0"/>
    <n v="31028000"/>
    <x v="6"/>
    <x v="37"/>
    <m/>
    <x v="5"/>
    <x v="0"/>
    <x v="1"/>
    <x v="35"/>
    <s v="ADB Project 41936-014:Source of Funding - ADB Private Sector Loan. Pulverized coal, subcritical; Power Plant emission are divided evenly among the G20 countries that provided funding to the projects. "/>
    <m/>
    <n v="23.076923076923077"/>
    <n v="2.6263216890000003E-2"/>
    <n v="1.0505286756000001"/>
    <m/>
    <s v="Share of full power plant capacity of 600MW, split with WBG"/>
    <m/>
    <m/>
  </r>
  <r>
    <x v="19"/>
    <x v="32"/>
    <x v="1"/>
    <n v="20199060"/>
    <x v="134"/>
    <x v="131"/>
    <s v="http://www.exim.gov/about/library/reports/annualreports/2008/upload/AuthorizationsListings.pdf"/>
    <x v="4"/>
    <x v="1"/>
    <x v="2"/>
    <x v="215"/>
    <m/>
    <m/>
    <m/>
    <n v="0"/>
    <n v="0"/>
    <m/>
    <m/>
    <m/>
    <m/>
  </r>
  <r>
    <x v="19"/>
    <x v="5"/>
    <x v="0"/>
    <n v="4322200.4000000004"/>
    <x v="32"/>
    <x v="38"/>
    <m/>
    <x v="24"/>
    <x v="0"/>
    <x v="0"/>
    <x v="36"/>
    <s v="ADB Project 39595-023: Civil works for the Mong Duong 1 Thermal Power Plant; Power Plant emission are divided evenly among the G20 countries that provided funding to the projects. "/>
    <m/>
    <n v="83.07692307692308"/>
    <n v="9.4547580804000012E-2"/>
    <n v="3.7819032321600003"/>
    <m/>
    <s v="Share of full power plant capacity of 1080"/>
    <m/>
    <m/>
  </r>
  <r>
    <x v="19"/>
    <x v="6"/>
    <x v="0"/>
    <n v="20230677.770977631"/>
    <x v="34"/>
    <x v="40"/>
    <s v="http://www.ebrd.com/work-with-us/projects/psd/eps-restructuring.html"/>
    <x v="26"/>
    <x v="2"/>
    <x v="3"/>
    <x v="38"/>
    <s v="Financing for restructing of Serbian state-owned utility EPS, which is lignite-heavy and maintains plans for significant lignite expansion. _x000a__x000a_While not exclusively for coal, this investment is included because of EPS lignite expansion plans and lack of prior EBRD investments in EPS resulting in observable changes in supply mix or capacity addition plans."/>
    <s v="http://www.ebrd.com/news/2015/ebrd-supports-reform-of-serbias-power-sector-with-200-million-loan-to-eps.html_x000a_http://bankwatch.org/publications/issues-serbian-electricity-company-eps-need-be-addressed-within - New-ebrd-loan_x000a_http://bankwatch.org/bwmail/62/ebrd-digs-deeper-serbian-coal-king"/>
    <m/>
    <n v="0"/>
    <n v="0"/>
    <m/>
    <m/>
    <m/>
    <m/>
  </r>
  <r>
    <x v="19"/>
    <x v="2"/>
    <x v="0"/>
    <n v="44140311.717503354"/>
    <x v="3"/>
    <x v="3"/>
    <s v="http://www.shiftthesubsidies.org/projects/713"/>
    <x v="3"/>
    <x v="0"/>
    <x v="0"/>
    <x v="3"/>
    <m/>
    <m/>
    <n v="60"/>
    <n v="6.8284363914000015E-2"/>
    <n v="2.7313745565600005"/>
    <m/>
    <m/>
    <m/>
    <m/>
  </r>
  <r>
    <x v="19"/>
    <x v="2"/>
    <x v="0"/>
    <n v="15013711.468538556"/>
    <x v="4"/>
    <x v="4"/>
    <s v="http://www.shiftthesubsidies.org/projects/707"/>
    <x v="3"/>
    <x v="0"/>
    <x v="0"/>
    <x v="3"/>
    <m/>
    <m/>
    <n v="30"/>
    <n v="3.4142181957000008E-2"/>
    <n v="1.3656872782800002"/>
    <m/>
    <m/>
    <m/>
    <m/>
  </r>
  <r>
    <x v="19"/>
    <x v="0"/>
    <x v="0"/>
    <n v="1775015.3632248237"/>
    <x v="5"/>
    <x v="5"/>
    <s v="http://ifcext.ifc.org/ifcext/spiwebsite1.nsf/0/65B4BFB361EC38E8852576BA000E29B4"/>
    <x v="4"/>
    <x v="0"/>
    <x v="0"/>
    <x v="4"/>
    <s v="IFC is investing up to $8 million in equity in the company. The total cost of the project is expected to be about $578 million. Lanco Amarkantak Power Private Limited (LAPPL or the company) project involves the construction, operation and maintenance of a 600 MW (2 x 300 MW units henceforth called Unit 1 and Unit 2) coal based almost pit head thermal power plant near Patadi village in Korba district in the state of Chhattisgarh in India."/>
    <s v="http://www.adb.org/sites/default/files/projdocs/2008/41946-IND-RRP.pdf"/>
    <n v="31.578947368421051"/>
    <n v="3.5939138902105268E-2"/>
    <n v="1.4375655560842107"/>
    <m/>
    <s v="Share of full power plant capacity of 600MW"/>
    <s v="Status: Closed"/>
    <m/>
  </r>
  <r>
    <x v="19"/>
    <x v="5"/>
    <x v="0"/>
    <n v="140068149"/>
    <x v="35"/>
    <x v="41"/>
    <m/>
    <x v="24"/>
    <x v="0"/>
    <x v="0"/>
    <x v="39"/>
    <s v="Emissions counted from earlier loan_x000a_ADB Project 39595-033: Source of Funding - ADB Ordinary Capital Resources.1,000 MW Circulating fluidized bed (CFB), subcritical  coal-fired power plant; Power Plant emission are divided evenly among the G20 countries that provided funding to the projects. _x000a_1080 MW already counted from earlier round of funding."/>
    <m/>
    <m/>
    <n v="0"/>
    <n v="0"/>
    <m/>
    <s v="Yes"/>
    <m/>
    <m/>
  </r>
  <r>
    <x v="19"/>
    <x v="0"/>
    <x v="0"/>
    <n v="61016153.110853314"/>
    <x v="6"/>
    <x v="6"/>
    <s v="http://ifcext.ifc.org/ifcext/spiwebsite1.nsf/ProjectDisplay/SPI_DP26405"/>
    <x v="5"/>
    <x v="0"/>
    <x v="1"/>
    <x v="5"/>
    <s v="The Masinloc Coal-fired Power plant (Masinloc CPP) is a 600MW power plant, located in Masinloc, province of Zambales (Island of Luzon), which has been operational since 1998. The proposed IFC investment of up to $275 million A Loan and equity will partly finance the privatization of the Masinloc CPP.In the coming three years, the plant will also undergo refurbishment works to improve its operational and environmental performance._x000a__x000a_Bank reponse: Loan was prepaid. Equity stake remains."/>
    <m/>
    <n v="42.857142857142854"/>
    <n v="4.8774545652857132E-2"/>
    <n v="1.9509818261142853"/>
    <m/>
    <s v="Share of full power plant capacity of 600MW, split with AfDB"/>
    <s v="Active"/>
    <m/>
  </r>
  <r>
    <x v="19"/>
    <x v="3"/>
    <x v="0"/>
    <n v="8572126.5838580821"/>
    <x v="7"/>
    <x v="7"/>
    <s v="http://www.afdb.org/en/news-and-events/article/afdb-approves-eur-153-million-for-botswana-power-project-5255/"/>
    <x v="6"/>
    <x v="0"/>
    <x v="0"/>
    <x v="6"/>
    <m/>
    <m/>
    <n v="20"/>
    <n v="2.2761454637999997E-2"/>
    <n v="0.91045818551999991"/>
    <m/>
    <s v="Share of full power plant capacity of 600MW"/>
    <m/>
    <m/>
  </r>
  <r>
    <x v="19"/>
    <x v="3"/>
    <x v="0"/>
    <n v="173205440.73572341"/>
    <x v="8"/>
    <x v="8"/>
    <s v="http://www.afdb.org/en/projects-and-operations/project-portfolio/project/p-za-faa-001/"/>
    <x v="7"/>
    <x v="0"/>
    <x v="0"/>
    <x v="7"/>
    <m/>
    <m/>
    <n v="160"/>
    <n v="0.18209163710399998"/>
    <n v="7.2836654841599993"/>
    <m/>
    <s v="Share of full power plant capacity of 4800, split with WBG"/>
    <m/>
    <m/>
  </r>
  <r>
    <x v="19"/>
    <x v="3"/>
    <x v="0"/>
    <n v="5428412.1322108535"/>
    <x v="9"/>
    <x v="9"/>
    <s v="http://www.afdb.org/en/news-and-events/article/senior-loan-of-up-to-euro-55-million-to-sendou-power-project-in-senegal-5513/"/>
    <x v="8"/>
    <x v="0"/>
    <x v="0"/>
    <x v="7"/>
    <m/>
    <m/>
    <n v="8.3333333333333339"/>
    <n v="9.4839394324999996E-3"/>
    <n v="0.37935757729999997"/>
    <m/>
    <s v="Share of full power plant capacity of 125"/>
    <m/>
    <s v="Yes"/>
  </r>
  <r>
    <x v="19"/>
    <x v="5"/>
    <x v="0"/>
    <n v="69813000"/>
    <x v="11"/>
    <x v="11"/>
    <s v="https://ijglobal.com/data/transaction/17705/mundra-umpp"/>
    <x v="4"/>
    <x v="0"/>
    <x v="0"/>
    <x v="9"/>
    <s v="ADB Project 41946-014: Source of Funding - ADB LIBOR Based Loan). Supercritical"/>
    <s v="http://www.adb.org/news/adb-lending-450m-first-ultra-mega-power-project-india_x000a_http://www.adb.org/sites/default/files/projdocs/2008/41946-IND-RRP.pdf"/>
    <n v="102.56410256410255"/>
    <n v="0.11672540839999998"/>
    <n v="4.6690163359999994"/>
    <m/>
    <s v="The project involves the construction of the 4,000MW Mundra ultra mega power plant in Gujarat. Power plant size and emissions divided equally among IFC, Korean Exim and ADB. _x000a_"/>
    <m/>
    <m/>
  </r>
  <r>
    <x v="19"/>
    <x v="5"/>
    <x v="0"/>
    <m/>
    <x v="36"/>
    <x v="42"/>
    <s v="http://www.adb.org/sites/default/files/projdocs/2008/41958-PHI-RRP.pdf_x000a_http://www.adb.org/sites/default/files/projdocs/2008/41958-PHI-RRP.pdf"/>
    <x v="5"/>
    <x v="0"/>
    <x v="1"/>
    <x v="40"/>
    <n v="18616800"/>
    <m/>
    <m/>
    <n v="0"/>
    <n v="0"/>
    <m/>
    <s v="ADB Project 41958-014: Source of Funding - ADB Ordinary Capital Resources. ADB does not include in its list.; Power Plant emission are divided evenly among the G20 countries that provided funding to the projects. "/>
    <s v="CANCELLED"/>
    <m/>
  </r>
  <r>
    <x v="19"/>
    <x v="32"/>
    <x v="1"/>
    <n v="18000000"/>
    <x v="33"/>
    <x v="278"/>
    <m/>
    <x v="16"/>
    <x v="1"/>
    <x v="2"/>
    <x v="41"/>
    <m/>
    <s v="http://www.exim.gov/learning-resources/key-industries"/>
    <m/>
    <n v="0"/>
    <n v="0"/>
    <n v="35.700000000000003"/>
    <m/>
    <m/>
    <m/>
  </r>
  <r>
    <x v="19"/>
    <x v="6"/>
    <x v="0"/>
    <n v="2953678.9545627343"/>
    <x v="38"/>
    <x v="44"/>
    <s v="http://www.ebrd.com/work-with-us/projects/psd/mak.html"/>
    <x v="9"/>
    <x v="1"/>
    <x v="2"/>
    <x v="42"/>
    <s v="Expansion of Eldev coal mine. Mongolyn Alt Corporation (‘MAK’ or the ‘Company’), a medium-sized Mongolian mining company producing coal"/>
    <m/>
    <m/>
    <n v="0"/>
    <n v="0"/>
    <m/>
    <s v="Yes"/>
    <m/>
    <m/>
  </r>
  <r>
    <x v="19"/>
    <x v="1"/>
    <x v="0"/>
    <n v="1180548.9154180582"/>
    <x v="10"/>
    <x v="10"/>
    <s v="http://www.worldbank.org/projects/P118109/mn-mining-infrastructure-investment-supp?lang=en&amp;tab=overview"/>
    <x v="9"/>
    <x v="1"/>
    <x v="2"/>
    <x v="8"/>
    <s v="25 mil Loan with 45% to energy. &quot;The Government of Mongolia is poised to develop several major mineral deposits in Southern Mongolia, including copper and gold at Oyu Tolgoi (OT), and coal at Tavan Tolgoi (TT), Nariin Sukhait and elsewhere&quot;.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This project supports only infrastructure, in particular water in South Gobi.  There is no direct support to coal mining. (NRDC mentions Tavan Tolgoi coal mine which is incorrect.)"/>
    <s v="http://www-wds.worldbank.org/external/default/WDSContentServer/WDSP/IB/2011/02/04/000020953_20110204090502/Rendered/PDF/594270PID0MN0mining0infrastructure0rev.pdf Tavan Tolgoi mine has a total estimated resource of 6.4 billion tonnes (see: http://en.wikipedia.org/wiki/Tavan_Tolgoi)."/>
    <m/>
    <n v="0"/>
    <n v="0"/>
    <m/>
    <s v="WBG"/>
    <s v="Active"/>
    <m/>
  </r>
  <r>
    <x v="19"/>
    <x v="6"/>
    <x v="0"/>
    <n v="8028116.594577617"/>
    <x v="40"/>
    <x v="46"/>
    <s v="http://www.ebrd.com/english/pages/project/psd/2008/38016.shtml"/>
    <x v="28"/>
    <x v="0"/>
    <x v="1"/>
    <x v="44"/>
    <s v="Equity investment for the purchase of a 4 percent stake in OGK-5, one of Russian power generating companies, from Enel SpA (the Sponsor).The amount was broken down according to assets, specifically 25 percent for coal and 75 percent for gas, according to the OGK-5 website, which states that they have three plants plants that run on gas and one on coal."/>
    <m/>
    <m/>
    <n v="0"/>
    <n v="0"/>
    <m/>
    <m/>
    <m/>
    <m/>
  </r>
  <r>
    <x v="19"/>
    <x v="32"/>
    <x v="1"/>
    <n v="22500000"/>
    <x v="204"/>
    <x v="158"/>
    <s v="http://www.exim.gov/customcf/congressionalmap/district_map.cfm?state=PA&amp;district=12"/>
    <x v="37"/>
    <x v="1"/>
    <x v="2"/>
    <x v="216"/>
    <s v="In response to Freedom of Information Request from Pacific Environment and Earthjustice"/>
    <s v="http://www.exim.gov/customcf/congressionalmap/district_map.cfm?state=PA&amp;district=12"/>
    <m/>
    <n v="0"/>
    <n v="0"/>
    <m/>
    <m/>
    <m/>
    <m/>
  </r>
  <r>
    <x v="19"/>
    <x v="6"/>
    <x v="0"/>
    <m/>
    <x v="42"/>
    <x v="48"/>
    <s v="http://www.ebrd.com/work-with-us/projects/psd/oltenia---turceni-rehabilitation.html"/>
    <x v="29"/>
    <x v="0"/>
    <x v="1"/>
    <x v="37"/>
    <m/>
    <m/>
    <m/>
    <n v="0"/>
    <n v="0"/>
    <m/>
    <s v="Financing for the rehabilitation and modernisation of unit 6 of CET Oltenia’s Turceni lignite fired power plant"/>
    <s v="CANCELLED"/>
    <m/>
  </r>
  <r>
    <x v="19"/>
    <x v="6"/>
    <x v="0"/>
    <n v="5462282.9981639609"/>
    <x v="43"/>
    <x v="49"/>
    <s v="http://www.ebrd.com/work-with-us/projects/psd/patnow-ii-refinancing---konin-biomass-.html"/>
    <x v="30"/>
    <x v="0"/>
    <x v="1"/>
    <x v="46"/>
    <s v="The is part of a refinancing package to repay the existing project finance loan given by EBRD in 2005 for a 464 MW lignite-fired power unit and to finance the construction of a new 154 MWt/ 50 MWe biomass boiler_x000a_EBRD RESPONSE: Financed the installation of a biomass fired CFB 154 MW boiler at the Konin power plant"/>
    <m/>
    <n v="12.833333333333334"/>
    <n v="1.460526672605E-2"/>
    <n v="0.58421066904200003"/>
    <m/>
    <s v="Yes"/>
    <m/>
    <m/>
  </r>
  <r>
    <x v="19"/>
    <x v="6"/>
    <x v="0"/>
    <n v="3473202.7597214398"/>
    <x v="44"/>
    <x v="50"/>
    <s v="http://www.ebrd.com/work-with-us/projects/psd/pavlodar-energo.html"/>
    <x v="22"/>
    <x v="0"/>
    <x v="1"/>
    <x v="47"/>
    <s v="Coal (lignite) fired combined heat and power plant. Assume that the lifetime of the plant is extended. It will not fully comply with EU env. Legislation even after the project, according to the project summary document."/>
    <m/>
    <n v="45.833333333333336"/>
    <n v="5.2161666878750006E-2"/>
    <n v="2.0864666751500001"/>
    <m/>
    <s v="Yes"/>
    <m/>
    <m/>
  </r>
  <r>
    <x v="19"/>
    <x v="32"/>
    <x v="1"/>
    <n v="805600000"/>
    <x v="8"/>
    <x v="279"/>
    <s v="http://www.exim.gov/newsandevents/releases/2011/ex-im-bank-financing-for-sub-saharan-africa-exceeds-1-billion-for-first-time.cfm"/>
    <x v="7"/>
    <x v="0"/>
    <x v="0"/>
    <x v="217"/>
    <m/>
    <m/>
    <n v="1600"/>
    <n v="1.82091637104"/>
    <n v="72.836654841599994"/>
    <m/>
    <s v="4800 MW plant. 3 banks: COFACE, Hermes, and Ex-Im. The MW is divided between the three banks. The spending by COFACE was made up of two payments. The third of the MW was divided by two for each of COFACE's payments"/>
    <m/>
    <m/>
  </r>
  <r>
    <x v="19"/>
    <x v="0"/>
    <x v="0"/>
    <n v="99844614.181396335"/>
    <x v="11"/>
    <x v="11"/>
    <s v="https://ijglobal.com/data/transaction/17705/mundra-umpp"/>
    <x v="4"/>
    <x v="0"/>
    <x v="0"/>
    <x v="9"/>
    <s v="The project involves the construction of the 4,000MW Mundra ultra mega power plant in Gujarat. Power plant size and emissions divided equally among IFC, Korean Exim and ADB. _x000a_"/>
    <s v="http://ifcext.ifc.org/ifcext/spiwebsite1.nsf/78e3b305216fcdba85257a8b0075079d/eab8e042d643a6ec852576ba000e2b15?opendocument"/>
    <n v="66.666666666666657"/>
    <n v="7.5871515459999983E-2"/>
    <n v="3.0348606183999993"/>
    <m/>
    <m/>
    <m/>
    <m/>
  </r>
  <r>
    <x v="19"/>
    <x v="5"/>
    <x v="0"/>
    <n v="31028"/>
    <x v="45"/>
    <x v="51"/>
    <m/>
    <x v="11"/>
    <x v="0"/>
    <x v="0"/>
    <x v="48"/>
    <s v="ADB RESPONSE: This is a Technical Assistance. ADB does not count it as part of its loan investments"/>
    <m/>
    <m/>
    <n v="0"/>
    <n v="0"/>
    <m/>
    <s v="ADB Project 42117-022: Source of Funding - ADB/Technical Assistance Special Fund. IGCC plant. ADB does not include in its list."/>
    <m/>
    <m/>
  </r>
  <r>
    <x v="19"/>
    <x v="32"/>
    <x v="1"/>
    <n v="16519915"/>
    <x v="205"/>
    <x v="280"/>
    <s v="http://www.exim.gov/newsandevents/boardmeetings/board/boardmeeting-agenda.cfm?pageID=3777"/>
    <x v="7"/>
    <x v="1"/>
    <x v="2"/>
    <x v="218"/>
    <m/>
    <m/>
    <m/>
    <n v="0"/>
    <n v="0"/>
    <m/>
    <m/>
    <m/>
    <m/>
  </r>
  <r>
    <x v="19"/>
    <x v="32"/>
    <x v="1"/>
    <n v="112500000"/>
    <x v="204"/>
    <x v="158"/>
    <s v="http://www.exim.gov/customcf/congressionalmap/district_map.cfm?state=PA&amp;district=12"/>
    <x v="37"/>
    <x v="1"/>
    <x v="2"/>
    <x v="49"/>
    <m/>
    <m/>
    <m/>
    <n v="0"/>
    <n v="0"/>
    <m/>
    <m/>
    <m/>
    <m/>
  </r>
  <r>
    <x v="19"/>
    <x v="6"/>
    <x v="0"/>
    <n v="13048787.162280573"/>
    <x v="46"/>
    <x v="52"/>
    <s v="http://www.ebrd.com/cs/Satellite?c=Content&amp;cid=1395238880994&amp;pagename=EBRD%2FContent%2FContentLayout"/>
    <x v="31"/>
    <x v="0"/>
    <x v="1"/>
    <x v="45"/>
    <s v="Upgrade and modernisation as well as life extension of the 809 MW lignite-fired Šoštanj Power Plant existing power plant"/>
    <m/>
    <n v="50"/>
    <n v="5.6903636595000001E-2"/>
    <n v="2.2761454637999998"/>
    <m/>
    <m/>
    <m/>
    <m/>
  </r>
  <r>
    <x v="19"/>
    <x v="32"/>
    <x v="1"/>
    <m/>
    <x v="206"/>
    <x v="281"/>
    <s v="http://www.exim.gov/newsandevents/releases/2012/ex-im-bank-approves-nearly-3-billion-in-export-financing-for-u-s-goods-and-services-to-australia-pacific-lng-project.cfm"/>
    <x v="33"/>
    <x v="1"/>
    <x v="22"/>
    <x v="219"/>
    <s v="Have listed this coal seam methane financing of $2,950,000,000 but have not included it in totals. _x000a_EXIM RESPONSE; This is a natural gas extraction-LNG project. No coal is mined."/>
    <m/>
    <m/>
    <n v="0"/>
    <n v="0"/>
    <m/>
    <m/>
    <m/>
    <m/>
  </r>
  <r>
    <x v="19"/>
    <x v="32"/>
    <x v="1"/>
    <n v="66277657"/>
    <x v="207"/>
    <x v="282"/>
    <m/>
    <x v="28"/>
    <x v="2"/>
    <x v="4"/>
    <x v="220"/>
    <m/>
    <s v="http://www.exim.gov/newsandevents/boardmeetings/board/boardmeeting-agenda.cfm?pageID=16915"/>
    <m/>
    <n v="0"/>
    <n v="0"/>
    <m/>
    <m/>
    <m/>
    <m/>
  </r>
  <r>
    <x v="19"/>
    <x v="32"/>
    <x v="1"/>
    <m/>
    <x v="208"/>
    <x v="283"/>
    <s v="http://www.smh.com.au/business/bg-gets-18b-from-us-exportimport-bank-for-curtis-lng-project-20130101-2c4cp.html"/>
    <x v="33"/>
    <x v="2"/>
    <x v="4"/>
    <x v="221"/>
    <s v="Have listed this coal seam methane financing of  $1,800,000,000 but have not included it in totals. _x000a_EXIM RESPONSE: This is a natural gas extraction-LNG project. No coal is mined."/>
    <s v="http://www.exim.gov/about/library/reports/annualreports/2013/FY2013-long-term-guarantees-auth.pdf"/>
    <m/>
    <n v="0"/>
    <n v="0"/>
    <m/>
    <m/>
    <m/>
    <m/>
  </r>
  <r>
    <x v="19"/>
    <x v="1"/>
    <x v="0"/>
    <n v="2203691.3087803754"/>
    <x v="62"/>
    <x v="68"/>
    <s v="http://www.ebrd.com/work-with-us/projects/psd/eps-restructuring.html"/>
    <x v="34"/>
    <x v="2"/>
    <x v="4"/>
    <x v="66"/>
    <s v="Total Financing - $150 mil loan. As stated on the World Bank website under 'Details' - 'Sectors': Coal Mining - 7%. Amount included is $150 mil * .07 =$21,000,000 _x000a__x000a_This project differs from the institution's list of projects. Primary areas of disagreement are on 1) policy loans that included coal components, 2) private sector financing to projects or companies that include coal components orrely on coal power and 3) financing to financial intermediaries that have a heavy emphasis on supporting coal. _x000a__x000a_No link to coal. Wrong sector coding. There is no coal or coal mining in Cote D’Ivoire. "/>
    <s v="http://www.worldbank.org/projects/P122800/ci-egrg-econ-gov-recovery-4?lang=en&amp;tab=overview"/>
    <m/>
    <n v="0"/>
    <n v="0"/>
    <m/>
    <s v="WBG"/>
    <s v="Status: Closed"/>
    <m/>
  </r>
  <r>
    <x v="19"/>
    <x v="32"/>
    <x v="1"/>
    <m/>
    <x v="209"/>
    <x v="152"/>
    <s v="http://www.exim.gov/newsandevents/releases/2013/ExIm-Approves-500-million-to-Finance-US-Exports-for-Use-in-Mongolian-Mine.cfm"/>
    <x v="9"/>
    <x v="2"/>
    <x v="4"/>
    <x v="187"/>
    <s v="EXIM RESPONSE: The Oyu Tolgoi mine project no longer has an associated power plant, coal or otherwise.  The mine will obtain power from another source.  EXIM’s only involvement remains with the development of the copper/gold mine itself."/>
    <s v="http://www.exim.gov/about/library/reports/annualreports/2013/FY2013-long-term-guarantees-auth.pdf_x000a_http://action.sierraclub.org/site/DocServer/Tolgoi_assessment_Final.pdf?docID=11801"/>
    <m/>
    <n v="0"/>
    <n v="0"/>
    <m/>
    <m/>
    <m/>
    <m/>
  </r>
  <r>
    <x v="19"/>
    <x v="4"/>
    <x v="0"/>
    <n v="9764100"/>
    <x v="27"/>
    <x v="31"/>
    <s v="http://web.worldbank.org/external/projects/main?pagePK=64283627&amp;piPK=73230&amp;theSitePK=40941&amp;menuPK=228424&amp;Projectid=P096389"/>
    <x v="21"/>
    <x v="1"/>
    <x v="2"/>
    <x v="29"/>
    <s v="Total financing - IBRD ($300 mil)The Second Development Policy Loan (DPL-II) of Ukraine will support priority reforms in social and economic spheres as reflected in a series of successive Government programs. A total of 19% of the total has been allocated to energy and mining, now revised on World Bank website under  'Details' - 'Sectors': Energy Efficiency in Power Sector. _x000a__x000a_Given emphasis on coal in program document, see source, energy portion has been assigned to coal: (.19 * $300 mil = 57,000,000)._x000a__x000a_Bank response: Reduced the quasi-fiscal deficit in the energy sector in 2006 as a percentage of GDP. New law on energy debt enacted and debt restructuring process started, with outstanding debts from electricity companies reduced"/>
    <s v=" http://www-wds.worldbank.org/external/default/WDSContentServer/WDSP/IB/2007/12/05/000020953_20071205105449/Rendered/PDF/415720UA.pdf"/>
    <m/>
    <n v="0"/>
    <n v="0"/>
    <m/>
    <s v="WBG"/>
    <s v="Status: Closed"/>
    <m/>
  </r>
  <r>
    <x v="19"/>
    <x v="5"/>
    <x v="0"/>
    <n v="20943900"/>
    <x v="39"/>
    <x v="59"/>
    <m/>
    <x v="11"/>
    <x v="0"/>
    <x v="0"/>
    <x v="57"/>
    <s v="ADB Project 42117- 013: Source of Funding - ADB Ordinary Capital Resources and ADB/Climate Change Fund. Loan and grant. Integrated gasification combined cycle (IGCC)"/>
    <m/>
    <n v="19.23076923076923"/>
    <n v="2.1886014075000002E-2"/>
    <n v="0.87544056300000006"/>
    <m/>
    <s v="Share of full power plant capacity of 250"/>
    <m/>
    <m/>
  </r>
  <r>
    <x v="19"/>
    <x v="0"/>
    <x v="0"/>
    <n v="3993784.5672558537"/>
    <x v="12"/>
    <x v="12"/>
    <s v="http://ifcextapps.ifc.org/ifcext/spiwebsite1.nsf/78e3b305216fcdba85257a8b0075079d/b6de0f004c9b8f3b852576c10080cd54?opendocument"/>
    <x v="10"/>
    <x v="0"/>
    <x v="0"/>
    <x v="10"/>
    <s v="IFC's investment as approved by the board is $18 million. The total project cost is estimated at $162.4 million .MSW plans to construct, own and operate a 60MW (2x30MW) mine-mouth coal-fired power plant on a 100 ha site in Mabuun Village, Murung Pudak, Sub-district of Tabalong Regency, South Kalimantan Province, Indonesia."/>
    <m/>
    <n v="3.1578947368421053"/>
    <n v="3.5939138902105262E-3"/>
    <n v="0.14375655560842104"/>
    <m/>
    <s v="Share of full power plant capacity of 60MW"/>
    <s v="Status: Closed"/>
    <m/>
  </r>
  <r>
    <x v="19"/>
    <x v="32"/>
    <x v="1"/>
    <n v="18716807"/>
    <x v="210"/>
    <x v="237"/>
    <s v="http://www.exim.gov/newsandevents/boardmeetings/board/boardmeeting-agenda.cfm?pageID=37064"/>
    <x v="28"/>
    <x v="1"/>
    <x v="2"/>
    <x v="222"/>
    <m/>
    <s v="http://www.mechel.com/sector/mining/yakutugol/"/>
    <m/>
    <n v="0"/>
    <n v="0"/>
    <m/>
    <m/>
    <m/>
    <m/>
  </r>
  <r>
    <x v="19"/>
    <x v="1"/>
    <x v="0"/>
    <n v="787032.61027870548"/>
    <x v="9"/>
    <x v="13"/>
    <s v="http://www.ebrd.com/english/pages/project/psd/2008/38016.shtml"/>
    <x v="8"/>
    <x v="0"/>
    <x v="0"/>
    <x v="11"/>
    <s v="Financing - IDA ($30.0 m.). Sector: General energy - 25%. General energy sector support includes coordination with the development of the 125 MW Sendou coal power plant_x000a__x000a_On energy aspects, Government has entered into a performance contract with utility (SENELEC) to reduce distribution losses, increase billing recovery, and strengthen financial management."/>
    <m/>
    <n v="6.5789473684210522"/>
    <n v="7.487320604605263E-3"/>
    <n v="0.29949282418421053"/>
    <m/>
    <s v="Share of full power plant capacity of 125MW"/>
    <s v="Status: Closed"/>
    <s v="Yes"/>
  </r>
  <r>
    <x v="19"/>
    <x v="0"/>
    <x v="0"/>
    <n v="32609250.991644043"/>
    <x v="13"/>
    <x v="14"/>
    <s v="https://ifcndd.ifc.org/ifcext/spiwebsite1.nsf/78e3b305216fcdba85257a8b0075079d/7786a0ba1f47451685257c2b00686cd7?opendocument"/>
    <x v="11"/>
    <x v="0"/>
    <x v="0"/>
    <x v="12"/>
    <s v="$88 mil Loan and $59 mil equity. The Project is to build plantation-based integrated board and pulp mills at Beihai city in Guangxi, southern China. From the US government's statement: &quot;..the project relies on coal for at least 80 percent of its needs in the expected three years of phase one of the project, and 20 percent thereafter._x000a__x000a_Manufacturing project that includes power generation. Coal is expected to provide 20% of the fuel mix in the greenfield pulp and board mill’s cogeneration systems. "/>
    <m/>
    <m/>
    <n v="0"/>
    <n v="0"/>
    <m/>
    <s v="WBG"/>
    <s v="Active"/>
    <m/>
  </r>
  <r>
    <x v="19"/>
    <x v="5"/>
    <x v="0"/>
    <n v="18616800"/>
    <x v="49"/>
    <x v="54"/>
    <m/>
    <x v="5"/>
    <x v="0"/>
    <x v="1"/>
    <x v="52"/>
    <s v="ADB Project 43906-014: Source of Funding - ADB LIBOR Based Loan. CFB subcritical "/>
    <m/>
    <n v="15.384615384615385"/>
    <n v="1.750881126E-2"/>
    <n v="0.70035245040000005"/>
    <m/>
    <m/>
    <m/>
    <m/>
  </r>
  <r>
    <x v="19"/>
    <x v="3"/>
    <x v="0"/>
    <n v="13072636.079977972"/>
    <x v="14"/>
    <x v="15"/>
    <m/>
    <x v="12"/>
    <x v="0"/>
    <x v="0"/>
    <x v="13"/>
    <s v="Partial risk guarantee for coal-fired power project investment in Nigeria. Official project information not available on AfDB website, but transaction was widely reported in Nigerian press:_x000a_"/>
    <s v="http://www.post-nigeria.com/afdb-pumps-200m-into-nigerias-coal-to-power-production/_x000a_http://www.esi-africa.com/news/coal-to-power-afdb-commits-200m-to-nigerias-dirty-fuel/_x000a_http://guardian.ng/news/afdb-pledges-200m-support-for-coal-to-power-projects/?ak_action=reject_mobile"/>
    <m/>
    <n v="0"/>
    <n v="0"/>
    <m/>
    <s v="Yes"/>
    <m/>
    <m/>
  </r>
  <r>
    <x v="19"/>
    <x v="6"/>
    <x v="0"/>
    <n v="8316629.3248711945"/>
    <x v="50"/>
    <x v="55"/>
    <s v="http://www.ebrd.com/work-with-us/projects/psd/tgk13-capacity-financing-.html"/>
    <x v="28"/>
    <x v="0"/>
    <x v="1"/>
    <x v="53"/>
    <m/>
    <m/>
    <n v="15.416666666666666"/>
    <n v="1.7545287950124999E-2"/>
    <n v="0.70181151800499997"/>
    <m/>
    <m/>
    <m/>
    <m/>
  </r>
  <r>
    <x v="19"/>
    <x v="3"/>
    <x v="0"/>
    <n v="73533577.9498761"/>
    <x v="8"/>
    <x v="16"/>
    <s v="http://www.afdb.org/en/news-and-events/article/afdb-supports-eskom-to-construct-and-maintain-transmission-lines-and-power-stations-in-south-africa-15264/"/>
    <x v="7"/>
    <x v="2"/>
    <x v="3"/>
    <x v="14"/>
    <s v="The Board of Directors of the African Development Bank (AfDB), through its private sector window, approved a senior corporate loan equivalent to USD 375 million in ZAR-equivalent and a corresponding A/B syndicated loan for up to USD 750 million to support the Capacity Expansion Program (CEP) of Eskom Holdings SOC Ltd of South Africa. Eskom is South Africa’s state-owned power utility and the country’s primary electricity supplier with over 90 years of operational experience._x000a__x000a_Financing for Eskom Capacity Expansion Program (not for an individual project), which includes multiple GW scale-up of coal-fired power and associated transmission infrastructure_x000a__x000a__x000a_US voted &quot;no&quot; to these loans, partly because of concerns around potential to contribute to coal-fired power expansion:_x000a_"/>
    <s v="http://www.afdb.org/en/news-and-events/article/afdb-supports-eskom-to-construct-and-maintain-transmission-lines-and-power-stations-in-south-africa-15264/_x000a_https://www.treasury.gov/resource-center/international/development-banks/Documents/U.S.%20Position%20on%20the%20AfDB%20ESKOM%20Loan%20to%20South%20Africa%20FINAL.pdf"/>
    <m/>
    <n v="0"/>
    <n v="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35" rowHeaderCaption="Country">
  <location ref="J5:K26" firstHeaderRow="1" firstDataRow="1" firstDataCol="1" rowPageCount="1" colPageCount="1"/>
  <pivotFields count="22">
    <pivotField axis="axisRow" showAll="0" sortType="descending">
      <items count="40">
        <item x="4"/>
        <item x="6"/>
        <item x="7"/>
        <item x="10"/>
        <item x="11"/>
        <item n="UK" x="18"/>
        <item n="US" x="19"/>
        <item m="1" x="21"/>
        <item m="1" x="33"/>
        <item m="1" x="23"/>
        <item m="1" x="28"/>
        <item x="1"/>
        <item m="1" x="38"/>
        <item m="1" x="29"/>
        <item m="1" x="22"/>
        <item m="1" x="25"/>
        <item m="1" x="27"/>
        <item m="1" x="36"/>
        <item m="1" x="32"/>
        <item m="1" x="26"/>
        <item m="1" x="24"/>
        <item m="1" x="31"/>
        <item m="1" x="20"/>
        <item x="13"/>
        <item x="5"/>
        <item m="1" x="34"/>
        <item m="1" x="35"/>
        <item m="1" x="37"/>
        <item x="0"/>
        <item x="3"/>
        <item x="8"/>
        <item x="9"/>
        <item x="12"/>
        <item x="14"/>
        <item x="16"/>
        <item x="15"/>
        <item x="17"/>
        <item x="2"/>
        <item h="1" m="1" x="30"/>
        <item t="default"/>
      </items>
      <autoSortScope>
        <pivotArea dataOnly="0" outline="0" fieldPosition="0">
          <references count="1">
            <reference field="4294967294" count="1" selected="0">
              <x v="0"/>
            </reference>
          </references>
        </pivotArea>
      </autoSortScope>
    </pivotField>
    <pivotField showAll="0">
      <items count="35">
        <item x="13"/>
        <item x="14"/>
        <item x="8"/>
        <item x="32"/>
        <item x="22"/>
        <item x="23"/>
        <item x="15"/>
        <item x="17"/>
        <item x="21"/>
        <item x="30"/>
        <item x="20"/>
        <item x="31"/>
        <item x="0"/>
        <item x="1"/>
        <item x="4"/>
        <item x="3"/>
        <item x="2"/>
        <item x="12"/>
        <item x="5"/>
        <item x="6"/>
        <item x="7"/>
        <item x="27"/>
        <item x="28"/>
        <item x="24"/>
        <item x="9"/>
        <item x="10"/>
        <item x="11"/>
        <item x="16"/>
        <item x="18"/>
        <item x="19"/>
        <item x="25"/>
        <item x="26"/>
        <item x="29"/>
        <item m="1" x="33"/>
        <item t="default"/>
      </items>
    </pivotField>
    <pivotField showAll="0" defaultSubtotal="0"/>
    <pivotField dataField="1" showAll="0"/>
    <pivotField showAll="0"/>
    <pivotField showAll="0"/>
    <pivotField showAll="0" defaultSubtotal="0"/>
    <pivotField showAll="0"/>
    <pivotField showAll="0" defaultSubtotal="0"/>
    <pivotField showAll="0">
      <items count="42">
        <item x="17"/>
        <item x="16"/>
        <item x="2"/>
        <item x="22"/>
        <item x="1"/>
        <item x="0"/>
        <item x="3"/>
        <item x="18"/>
        <item x="6"/>
        <item x="7"/>
        <item m="1" x="28"/>
        <item m="1" x="29"/>
        <item m="1" x="27"/>
        <item m="1" x="31"/>
        <item m="1" x="36"/>
        <item m="1" x="30"/>
        <item m="1" x="38"/>
        <item m="1" x="37"/>
        <item m="1" x="34"/>
        <item m="1" x="40"/>
        <item m="1" x="32"/>
        <item m="1" x="39"/>
        <item m="1" x="33"/>
        <item m="1" x="35"/>
        <item m="1" x="26"/>
        <item x="14"/>
        <item x="8"/>
        <item x="12"/>
        <item x="24"/>
        <item x="20"/>
        <item x="21"/>
        <item x="15"/>
        <item x="4"/>
        <item x="25"/>
        <item x="19"/>
        <item x="5"/>
        <item x="13"/>
        <item x="10"/>
        <item x="11"/>
        <item x="23"/>
        <item x="9"/>
        <item t="default"/>
      </items>
    </pivotField>
    <pivotField name="Year" axis="axisPage" numFmtId="14" multipleItemSelectionAllowed="1" showAll="0">
      <items count="12">
        <item x="0"/>
        <item x="1"/>
        <item x="2"/>
        <item x="3"/>
        <item x="4"/>
        <item x="5"/>
        <item x="6"/>
        <item x="7"/>
        <item x="8"/>
        <item x="9"/>
        <item x="10"/>
        <item t="default"/>
      </items>
    </pivotField>
    <pivotField showAl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items count="33">
        <item x="27"/>
        <item x="26"/>
        <item x="17"/>
        <item x="0"/>
        <item x="1"/>
        <item x="2"/>
        <item x="3"/>
        <item x="4"/>
        <item x="5"/>
        <item x="6"/>
        <item x="7"/>
        <item x="8"/>
        <item x="9"/>
        <item x="10"/>
        <item x="11"/>
        <item x="12"/>
        <item x="13"/>
        <item x="14"/>
        <item x="15"/>
        <item x="16"/>
        <item x="18"/>
        <item x="19"/>
        <item x="20"/>
        <item x="21"/>
        <item x="22"/>
        <item x="23"/>
        <item x="24"/>
        <item x="25"/>
        <item x="28"/>
        <item x="29"/>
        <item x="30"/>
        <item x="31"/>
        <item x="32"/>
      </items>
    </pivotField>
    <pivotField showAll="0" defaultSubtotal="0">
      <items count="31">
        <item x="5"/>
        <item x="4"/>
        <item x="9"/>
        <item x="3"/>
        <item x="1"/>
        <item x="2"/>
        <item x="10"/>
        <item x="0"/>
        <item x="8"/>
        <item x="6"/>
        <item x="7"/>
        <item x="15"/>
        <item x="12"/>
        <item x="13"/>
        <item x="14"/>
        <item x="11"/>
        <item x="16"/>
        <item x="17"/>
        <item x="18"/>
        <item x="19"/>
        <item x="20"/>
        <item x="21"/>
        <item x="22"/>
        <item x="23"/>
        <item x="24"/>
        <item x="25"/>
        <item x="26"/>
        <item x="27"/>
        <item x="28"/>
        <item x="29"/>
        <item x="30"/>
      </items>
    </pivotField>
  </pivotFields>
  <rowFields count="1">
    <field x="0"/>
  </rowFields>
  <rowItems count="21">
    <i>
      <x v="24"/>
    </i>
    <i>
      <x v="4"/>
    </i>
    <i>
      <x v="2"/>
    </i>
    <i>
      <x v="34"/>
    </i>
    <i>
      <x v="6"/>
    </i>
    <i>
      <x v="1"/>
    </i>
    <i>
      <x v="23"/>
    </i>
    <i>
      <x v="5"/>
    </i>
    <i>
      <x v="3"/>
    </i>
    <i>
      <x v="11"/>
    </i>
    <i>
      <x/>
    </i>
    <i>
      <x v="30"/>
    </i>
    <i>
      <x v="35"/>
    </i>
    <i>
      <x v="31"/>
    </i>
    <i>
      <x v="29"/>
    </i>
    <i>
      <x v="36"/>
    </i>
    <i>
      <x v="28"/>
    </i>
    <i>
      <x v="33"/>
    </i>
    <i>
      <x v="32"/>
    </i>
    <i>
      <x v="37"/>
    </i>
    <i t="grand">
      <x/>
    </i>
  </rowItems>
  <colItems count="1">
    <i/>
  </colItems>
  <pageFields count="1">
    <pageField fld="10" hier="-1"/>
  </pageFields>
  <dataFields count="1">
    <dataField name="Sum of Amount (in USD)" fld="3" baseField="0" baseItem="2552536" numFmtId="172"/>
  </dataFields>
  <chartFormats count="1">
    <chartFormat chart="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4" firstHeaderRow="1" firstDataRow="1" firstDataCol="1" rowPageCount="1" colPageCount="1"/>
  <pivotFields count="22">
    <pivotField axis="axisRow" showAll="0" sortType="descending">
      <items count="40">
        <item sd="0" m="1" x="32"/>
        <item sd="0" m="1" x="33"/>
        <item sd="0" x="0"/>
        <item sd="0" x="1"/>
        <item sd="0" m="1" x="38"/>
        <item sd="0" x="2"/>
        <item sd="0" x="3"/>
        <item sd="0" x="4"/>
        <item sd="0" x="5"/>
        <item sd="0" m="1" x="34"/>
        <item sd="0" m="1" x="30"/>
        <item sd="0" m="1" x="35"/>
        <item sd="0" m="1" x="29"/>
        <item sd="0" m="1" x="22"/>
        <item sd="0" m="1" x="28"/>
        <item sd="0" x="6"/>
        <item sd="0" x="7"/>
        <item sd="0" m="1" x="27"/>
        <item sd="0" x="8"/>
        <item sd="0" x="9"/>
        <item sd="0" m="1" x="23"/>
        <item sd="0" x="10"/>
        <item sd="0" x="11"/>
        <item sd="0" m="1" x="25"/>
        <item sd="0" x="12"/>
        <item sd="0" m="1" x="31"/>
        <item sd="0" m="1" x="36"/>
        <item sd="0" x="13"/>
        <item sd="0" x="14"/>
        <item sd="0" m="1" x="20"/>
        <item sd="0" m="1" x="37"/>
        <item sd="0" x="15"/>
        <item sd="0" x="16"/>
        <item sd="0" m="1" x="26"/>
        <item sd="0" m="1" x="24"/>
        <item sd="0" x="17"/>
        <item sd="0" x="18"/>
        <item sd="0" x="19"/>
        <item sd="0" m="1" x="21"/>
        <item t="default" sd="0"/>
      </items>
      <autoSortScope>
        <pivotArea dataOnly="0" outline="0" fieldPosition="0">
          <references count="1">
            <reference field="4294967294" count="1" selected="0">
              <x v="0"/>
            </reference>
          </references>
        </pivotArea>
      </autoSortScope>
    </pivotField>
    <pivotField showAll="0">
      <items count="35">
        <item x="3"/>
        <item x="5"/>
        <item x="9"/>
        <item x="10"/>
        <item x="11"/>
        <item x="13"/>
        <item x="25"/>
        <item x="14"/>
        <item x="6"/>
        <item x="12"/>
        <item x="8"/>
        <item x="7"/>
        <item x="18"/>
        <item x="32"/>
        <item x="27"/>
        <item x="29"/>
        <item x="26"/>
        <item x="2"/>
        <item x="22"/>
        <item x="23"/>
        <item x="28"/>
        <item x="16"/>
        <item x="15"/>
        <item x="17"/>
        <item x="21"/>
        <item x="30"/>
        <item x="24"/>
        <item x="20"/>
        <item x="31"/>
        <item x="19"/>
        <item x="4"/>
        <item x="1"/>
        <item x="0"/>
        <item m="1" x="33"/>
        <item t="default"/>
      </items>
    </pivotField>
    <pivotField showAll="0"/>
    <pivotField dataField="1" showAll="0"/>
    <pivotField showAll="0"/>
    <pivotField showAll="0"/>
    <pivotField showAll="0"/>
    <pivotField axis="axisRow" showAll="0" sortType="descending">
      <items count="82">
        <item x="33"/>
        <item x="23"/>
        <item m="1" x="67"/>
        <item x="35"/>
        <item x="6"/>
        <item x="3"/>
        <item m="1" x="76"/>
        <item x="56"/>
        <item x="1"/>
        <item x="11"/>
        <item m="1" x="77"/>
        <item m="1" x="79"/>
        <item x="55"/>
        <item m="1" x="71"/>
        <item x="34"/>
        <item m="1" x="73"/>
        <item m="1" x="61"/>
        <item x="57"/>
        <item x="54"/>
        <item m="1" x="65"/>
        <item x="46"/>
        <item x="43"/>
        <item x="27"/>
        <item x="32"/>
        <item x="45"/>
        <item x="4"/>
        <item x="15"/>
        <item x="16"/>
        <item x="10"/>
        <item x="38"/>
        <item x="50"/>
        <item m="1" x="75"/>
        <item x="44"/>
        <item x="22"/>
        <item m="1" x="69"/>
        <item x="14"/>
        <item x="17"/>
        <item x="2"/>
        <item x="48"/>
        <item x="13"/>
        <item m="1" x="74"/>
        <item m="1" x="66"/>
        <item m="1" x="63"/>
        <item x="0"/>
        <item x="53"/>
        <item x="9"/>
        <item x="39"/>
        <item x="18"/>
        <item m="1" x="72"/>
        <item x="12"/>
        <item x="25"/>
        <item x="19"/>
        <item x="5"/>
        <item x="30"/>
        <item x="29"/>
        <item x="28"/>
        <item m="1" x="68"/>
        <item x="8"/>
        <item x="26"/>
        <item x="31"/>
        <item x="7"/>
        <item x="52"/>
        <item x="36"/>
        <item m="1" x="60"/>
        <item x="20"/>
        <item x="49"/>
        <item x="51"/>
        <item x="47"/>
        <item x="21"/>
        <item x="58"/>
        <item x="37"/>
        <item m="1" x="78"/>
        <item m="1" x="70"/>
        <item m="1" x="64"/>
        <item m="1" x="62"/>
        <item x="40"/>
        <item m="1" x="80"/>
        <item x="24"/>
        <item x="42"/>
        <item x="41"/>
        <item m="1" x="59"/>
        <item t="default"/>
      </items>
      <autoSortScope>
        <pivotArea dataOnly="0" outline="0" fieldPosition="0">
          <references count="1">
            <reference field="4294967294" count="1" selected="0">
              <x v="0"/>
            </reference>
          </references>
        </pivotArea>
      </autoSortScope>
    </pivotField>
    <pivotField showAll="0"/>
    <pivotField showAll="0">
      <items count="42">
        <item m="1" x="26"/>
        <item m="1" x="27"/>
        <item m="1" x="36"/>
        <item m="1" x="33"/>
        <item m="1" x="32"/>
        <item m="1" x="39"/>
        <item m="1" x="28"/>
        <item m="1" x="35"/>
        <item m="1" x="31"/>
        <item m="1" x="38"/>
        <item m="1" x="37"/>
        <item m="1" x="40"/>
        <item m="1" x="34"/>
        <item m="1" x="29"/>
        <item m="1" x="30"/>
        <item x="19"/>
        <item x="10"/>
        <item x="4"/>
        <item x="17"/>
        <item x="6"/>
        <item x="16"/>
        <item x="2"/>
        <item x="8"/>
        <item x="5"/>
        <item x="24"/>
        <item x="21"/>
        <item x="7"/>
        <item x="22"/>
        <item x="20"/>
        <item x="18"/>
        <item x="14"/>
        <item x="1"/>
        <item x="12"/>
        <item x="13"/>
        <item x="0"/>
        <item x="11"/>
        <item x="25"/>
        <item x="3"/>
        <item x="15"/>
        <item x="23"/>
        <item x="9"/>
        <item t="default"/>
      </items>
    </pivotField>
    <pivotField axis="axisPage" numFmtId="175" multipleItemSelectionAllowed="1" showAll="0">
      <items count="12">
        <item x="0"/>
        <item x="1"/>
        <item x="2"/>
        <item x="3"/>
        <item x="4"/>
        <item x="5"/>
        <item x="6"/>
        <item x="7"/>
        <item x="8"/>
        <item x="9"/>
        <item x="10"/>
        <item t="default"/>
      </items>
    </pivotField>
    <pivotField showAll="0"/>
    <pivotField showAll="0"/>
    <pivotField showAll="0"/>
    <pivotField numFmtId="2" showAll="0"/>
    <pivotField numFmtId="1" showAll="0"/>
    <pivotField showAll="0"/>
    <pivotField showAll="0"/>
    <pivotField showAll="0"/>
    <pivotField showAll="0" defaultSubtotal="0"/>
    <pivotField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s>
  <rowFields count="2">
    <field x="0"/>
    <field x="7"/>
  </rowFields>
  <rowItems count="21">
    <i>
      <x v="8"/>
    </i>
    <i>
      <x v="22"/>
    </i>
    <i>
      <x v="16"/>
    </i>
    <i>
      <x v="32"/>
    </i>
    <i>
      <x v="37"/>
    </i>
    <i>
      <x v="15"/>
    </i>
    <i>
      <x v="27"/>
    </i>
    <i>
      <x v="36"/>
    </i>
    <i>
      <x v="21"/>
    </i>
    <i>
      <x v="3"/>
    </i>
    <i>
      <x v="7"/>
    </i>
    <i>
      <x v="18"/>
    </i>
    <i>
      <x v="31"/>
    </i>
    <i>
      <x v="19"/>
    </i>
    <i>
      <x v="6"/>
    </i>
    <i>
      <x v="35"/>
    </i>
    <i>
      <x v="2"/>
    </i>
    <i>
      <x v="28"/>
    </i>
    <i>
      <x v="24"/>
    </i>
    <i>
      <x v="5"/>
    </i>
    <i t="grand">
      <x/>
    </i>
  </rowItems>
  <colItems count="1">
    <i/>
  </colItems>
  <pageFields count="1">
    <pageField fld="10" hier="-1"/>
  </pageFields>
  <dataFields count="1">
    <dataField name="Sum of Amount (in USD)" fld="3" baseField="7" baseItem="0" numFmtId="164"/>
  </dataFields>
  <formats count="3">
    <format dxfId="41">
      <pivotArea outline="0" collapsedLevelsAreSubtotals="1" fieldPosition="0"/>
    </format>
    <format dxfId="40">
      <pivotArea dataOnly="0" labelOnly="1" outline="0" fieldPosition="0">
        <references count="1">
          <reference field="0" count="0"/>
        </references>
      </pivotArea>
    </format>
    <format dxfId="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Yearly Country"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03">
  <location ref="K3:AF14" firstHeaderRow="1" firstDataRow="2" firstDataCol="1"/>
  <pivotFields count="22">
    <pivotField axis="axisCol" multipleItemSelectionAllowed="1" showAll="0" sortType="descending">
      <items count="40">
        <item m="1" x="21"/>
        <item x="19"/>
        <item x="18"/>
        <item x="17"/>
        <item m="1" x="24"/>
        <item m="1" x="26"/>
        <item x="16"/>
        <item x="15"/>
        <item m="1" x="37"/>
        <item m="1" x="20"/>
        <item x="14"/>
        <item x="13"/>
        <item m="1" x="36"/>
        <item m="1" x="31"/>
        <item x="12"/>
        <item m="1" x="25"/>
        <item x="11"/>
        <item x="10"/>
        <item m="1" x="23"/>
        <item x="9"/>
        <item x="8"/>
        <item m="1" x="27"/>
        <item x="7"/>
        <item x="6"/>
        <item m="1" x="28"/>
        <item m="1" x="22"/>
        <item m="1" x="29"/>
        <item m="1" x="35"/>
        <item h="1" m="1" x="30"/>
        <item m="1" x="34"/>
        <item x="5"/>
        <item x="4"/>
        <item x="3"/>
        <item x="2"/>
        <item m="1" x="38"/>
        <item x="1"/>
        <item x="0"/>
        <item m="1" x="33"/>
        <item m="1" x="32"/>
        <item t="default"/>
      </items>
      <autoSortScope>
        <pivotArea dataOnly="0" outline="0" fieldPosition="0">
          <references count="1">
            <reference field="4294967294" count="1" selected="0">
              <x v="0"/>
            </reference>
          </references>
        </pivotArea>
      </autoSortScope>
    </pivotField>
    <pivotField showAll="0">
      <items count="35">
        <item x="13"/>
        <item x="14"/>
        <item x="8"/>
        <item x="32"/>
        <item x="22"/>
        <item x="23"/>
        <item x="15"/>
        <item x="17"/>
        <item x="21"/>
        <item x="30"/>
        <item x="20"/>
        <item x="31"/>
        <item x="0"/>
        <item x="1"/>
        <item x="4"/>
        <item x="3"/>
        <item x="2"/>
        <item x="12"/>
        <item x="5"/>
        <item x="6"/>
        <item x="7"/>
        <item x="27"/>
        <item x="28"/>
        <item x="24"/>
        <item x="9"/>
        <item x="10"/>
        <item x="11"/>
        <item x="16"/>
        <item x="18"/>
        <item x="19"/>
        <item x="25"/>
        <item x="26"/>
        <item x="29"/>
        <item m="1" x="33"/>
        <item t="default"/>
      </items>
    </pivotField>
    <pivotField showAll="0" defaultSubtotal="0"/>
    <pivotField dataField="1" showAll="0"/>
    <pivotField showAll="0"/>
    <pivotField showAll="0"/>
    <pivotField showAll="0" defaultSubtotal="0"/>
    <pivotField showAll="0"/>
    <pivotField showAll="0" defaultSubtotal="0"/>
    <pivotField showAll="0">
      <items count="42">
        <item x="17"/>
        <item x="16"/>
        <item x="2"/>
        <item x="22"/>
        <item x="1"/>
        <item x="0"/>
        <item x="3"/>
        <item x="18"/>
        <item x="6"/>
        <item x="7"/>
        <item m="1" x="28"/>
        <item m="1" x="29"/>
        <item m="1" x="27"/>
        <item m="1" x="31"/>
        <item m="1" x="36"/>
        <item m="1" x="30"/>
        <item m="1" x="38"/>
        <item m="1" x="37"/>
        <item m="1" x="34"/>
        <item m="1" x="40"/>
        <item m="1" x="32"/>
        <item m="1" x="39"/>
        <item m="1" x="33"/>
        <item m="1" x="35"/>
        <item m="1" x="26"/>
        <item x="14"/>
        <item x="8"/>
        <item x="12"/>
        <item x="24"/>
        <item x="20"/>
        <item x="21"/>
        <item x="15"/>
        <item x="4"/>
        <item x="25"/>
        <item x="19"/>
        <item x="5"/>
        <item x="13"/>
        <item x="10"/>
        <item x="11"/>
        <item x="23"/>
        <item x="9"/>
        <item t="default"/>
      </items>
    </pivotField>
    <pivotField axis="axisRow" numFmtId="175" showAll="0" nonAutoSortDefault="1">
      <items count="12">
        <item sd="0" x="0"/>
        <item sd="0" x="1"/>
        <item sd="0" x="2"/>
        <item sd="0" x="3"/>
        <item sd="0" x="4"/>
        <item sd="0" x="5"/>
        <item sd="0" x="6"/>
        <item sd="0" x="7"/>
        <item sd="0" x="8"/>
        <item sd="0" x="9"/>
        <item x="10"/>
        <item t="default" sd="0"/>
      </items>
    </pivotField>
    <pivotField showAl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items count="33">
        <item x="27"/>
        <item x="26"/>
        <item x="17"/>
        <item x="0"/>
        <item x="1"/>
        <item x="2"/>
        <item x="3"/>
        <item x="4"/>
        <item x="5"/>
        <item x="6"/>
        <item x="7"/>
        <item x="8"/>
        <item x="9"/>
        <item x="10"/>
        <item x="11"/>
        <item x="12"/>
        <item x="13"/>
        <item x="14"/>
        <item x="15"/>
        <item x="16"/>
        <item x="18"/>
        <item x="19"/>
        <item x="20"/>
        <item x="21"/>
        <item x="22"/>
        <item x="23"/>
        <item x="24"/>
        <item x="25"/>
        <item x="28"/>
        <item x="29"/>
        <item x="30"/>
        <item x="31"/>
        <item x="32"/>
      </items>
    </pivotField>
    <pivotField showAll="0" defaultSubtotal="0">
      <items count="31">
        <item x="5"/>
        <item x="4"/>
        <item x="9"/>
        <item x="3"/>
        <item x="1"/>
        <item x="2"/>
        <item x="10"/>
        <item x="0"/>
        <item x="8"/>
        <item x="6"/>
        <item x="7"/>
        <item x="15"/>
        <item x="12"/>
        <item x="13"/>
        <item x="14"/>
        <item x="11"/>
        <item x="16"/>
        <item x="17"/>
        <item x="18"/>
        <item x="19"/>
        <item x="20"/>
        <item x="21"/>
        <item x="22"/>
        <item x="23"/>
        <item x="24"/>
        <item x="25"/>
        <item x="26"/>
        <item x="27"/>
        <item x="28"/>
        <item x="29"/>
        <item x="30"/>
      </items>
    </pivotField>
  </pivotFields>
  <rowFields count="1">
    <field x="10"/>
  </rowFields>
  <rowItems count="10">
    <i>
      <x v="1"/>
    </i>
    <i>
      <x v="2"/>
    </i>
    <i>
      <x v="3"/>
    </i>
    <i>
      <x v="4"/>
    </i>
    <i>
      <x v="5"/>
    </i>
    <i>
      <x v="6"/>
    </i>
    <i>
      <x v="7"/>
    </i>
    <i>
      <x v="8"/>
    </i>
    <i>
      <x v="9"/>
    </i>
    <i t="grand">
      <x/>
    </i>
  </rowItems>
  <colFields count="1">
    <field x="0"/>
  </colFields>
  <colItems count="21">
    <i>
      <x v="30"/>
    </i>
    <i>
      <x v="16"/>
    </i>
    <i>
      <x v="22"/>
    </i>
    <i>
      <x v="6"/>
    </i>
    <i>
      <x v="1"/>
    </i>
    <i>
      <x v="23"/>
    </i>
    <i>
      <x v="11"/>
    </i>
    <i>
      <x v="2"/>
    </i>
    <i>
      <x v="17"/>
    </i>
    <i>
      <x v="35"/>
    </i>
    <i>
      <x v="31"/>
    </i>
    <i>
      <x v="20"/>
    </i>
    <i>
      <x v="7"/>
    </i>
    <i>
      <x v="19"/>
    </i>
    <i>
      <x v="32"/>
    </i>
    <i>
      <x v="3"/>
    </i>
    <i>
      <x v="36"/>
    </i>
    <i>
      <x v="10"/>
    </i>
    <i>
      <x v="14"/>
    </i>
    <i>
      <x v="33"/>
    </i>
    <i t="grand">
      <x/>
    </i>
  </colItems>
  <dataFields count="1">
    <dataField name="Sum of Amount (in USD)" fld="3" baseField="11" baseItem="1" numFmtId="172"/>
  </dataFields>
  <chartFormats count="17">
    <chartFormat chart="29" format="19" series="1">
      <pivotArea type="data" outline="0" fieldPosition="0">
        <references count="2">
          <reference field="4294967294" count="1" selected="0">
            <x v="0"/>
          </reference>
          <reference field="0" count="1" selected="0">
            <x v="16"/>
          </reference>
        </references>
      </pivotArea>
    </chartFormat>
    <chartFormat chart="29" format="20" series="1">
      <pivotArea type="data" outline="0" fieldPosition="0">
        <references count="2">
          <reference field="4294967294" count="1" selected="0">
            <x v="0"/>
          </reference>
          <reference field="0" count="1" selected="0">
            <x v="22"/>
          </reference>
        </references>
      </pivotArea>
    </chartFormat>
    <chartFormat chart="29" format="21" series="1">
      <pivotArea type="data" outline="0" fieldPosition="0">
        <references count="2">
          <reference field="4294967294" count="1" selected="0">
            <x v="0"/>
          </reference>
          <reference field="0" count="1" selected="0">
            <x v="1"/>
          </reference>
        </references>
      </pivotArea>
    </chartFormat>
    <chartFormat chart="29" format="22" series="1">
      <pivotArea type="data" outline="0" fieldPosition="0">
        <references count="2">
          <reference field="4294967294" count="1" selected="0">
            <x v="0"/>
          </reference>
          <reference field="0" count="1" selected="0">
            <x v="23"/>
          </reference>
        </references>
      </pivotArea>
    </chartFormat>
    <chartFormat chart="29" format="23" series="1">
      <pivotArea type="data" outline="0" fieldPosition="0">
        <references count="2">
          <reference field="4294967294" count="1" selected="0">
            <x v="0"/>
          </reference>
          <reference field="0" count="1" selected="0">
            <x v="2"/>
          </reference>
        </references>
      </pivotArea>
    </chartFormat>
    <chartFormat chart="29" format="24" series="1">
      <pivotArea type="data" outline="0" fieldPosition="0">
        <references count="2">
          <reference field="4294967294" count="1" selected="0">
            <x v="0"/>
          </reference>
          <reference field="0" count="1" selected="0">
            <x v="17"/>
          </reference>
        </references>
      </pivotArea>
    </chartFormat>
    <chartFormat chart="29" format="25" series="1">
      <pivotArea type="data" outline="0" fieldPosition="0">
        <references count="2">
          <reference field="4294967294" count="1" selected="0">
            <x v="0"/>
          </reference>
          <reference field="0" count="1" selected="0">
            <x v="31"/>
          </reference>
        </references>
      </pivotArea>
    </chartFormat>
    <chartFormat chart="30" format="26" series="1">
      <pivotArea type="data" outline="0" fieldPosition="0">
        <references count="2">
          <reference field="4294967294" count="1" selected="0">
            <x v="0"/>
          </reference>
          <reference field="0" count="1" selected="0">
            <x v="16"/>
          </reference>
        </references>
      </pivotArea>
    </chartFormat>
    <chartFormat chart="30" format="27" series="1">
      <pivotArea type="data" outline="0" fieldPosition="0">
        <references count="2">
          <reference field="4294967294" count="1" selected="0">
            <x v="0"/>
          </reference>
          <reference field="0" count="1" selected="0">
            <x v="22"/>
          </reference>
        </references>
      </pivotArea>
    </chartFormat>
    <chartFormat chart="30" format="28" series="1">
      <pivotArea type="data" outline="0" fieldPosition="0">
        <references count="2">
          <reference field="4294967294" count="1" selected="0">
            <x v="0"/>
          </reference>
          <reference field="0" count="1" selected="0">
            <x v="1"/>
          </reference>
        </references>
      </pivotArea>
    </chartFormat>
    <chartFormat chart="30" format="29" series="1">
      <pivotArea type="data" outline="0" fieldPosition="0">
        <references count="2">
          <reference field="4294967294" count="1" selected="0">
            <x v="0"/>
          </reference>
          <reference field="0" count="1" selected="0">
            <x v="23"/>
          </reference>
        </references>
      </pivotArea>
    </chartFormat>
    <chartFormat chart="30" format="30" series="1">
      <pivotArea type="data" outline="0" fieldPosition="0">
        <references count="2">
          <reference field="4294967294" count="1" selected="0">
            <x v="0"/>
          </reference>
          <reference field="0" count="1" selected="0">
            <x v="2"/>
          </reference>
        </references>
      </pivotArea>
    </chartFormat>
    <chartFormat chart="30" format="31" series="1">
      <pivotArea type="data" outline="0" fieldPosition="0">
        <references count="2">
          <reference field="4294967294" count="1" selected="0">
            <x v="0"/>
          </reference>
          <reference field="0" count="1" selected="0">
            <x v="17"/>
          </reference>
        </references>
      </pivotArea>
    </chartFormat>
    <chartFormat chart="30" format="32" series="1">
      <pivotArea type="data" outline="0" fieldPosition="0">
        <references count="2">
          <reference field="4294967294" count="1" selected="0">
            <x v="0"/>
          </reference>
          <reference field="0" count="1" selected="0">
            <x v="31"/>
          </reference>
        </references>
      </pivotArea>
    </chartFormat>
    <chartFormat chart="96" format="112" series="1">
      <pivotArea type="data" outline="0" fieldPosition="0">
        <references count="1">
          <reference field="4294967294" count="1" selected="0">
            <x v="0"/>
          </reference>
        </references>
      </pivotArea>
    </chartFormat>
    <chartFormat chart="99" format="113" series="1">
      <pivotArea type="data" outline="0" fieldPosition="0">
        <references count="1">
          <reference field="4294967294" count="1" selected="0">
            <x v="0"/>
          </reference>
        </references>
      </pivotArea>
    </chartFormat>
    <chartFormat chart="100" format="1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50">
  <location ref="G4:H9" firstHeaderRow="1" firstDataRow="1" firstDataCol="1" rowPageCount="1" colPageCount="1"/>
  <pivotFields count="21">
    <pivotField axis="axisRow" showAll="0" sortType="descending">
      <items count="30">
        <item h="1" x="4"/>
        <item x="2"/>
        <item x="10"/>
        <item h="1" m="1" x="21"/>
        <item m="1" x="25"/>
        <item m="1" x="22"/>
        <item x="0"/>
        <item m="1" x="24"/>
        <item x="3"/>
        <item x="9"/>
        <item x="7"/>
        <item x="8"/>
        <item x="6"/>
        <item x="18"/>
        <item x="5"/>
        <item x="14"/>
        <item x="19"/>
        <item x="12"/>
        <item x="17"/>
        <item x="1"/>
        <item x="11"/>
        <item m="1" x="28"/>
        <item x="13"/>
        <item x="15"/>
        <item x="16"/>
        <item h="1" m="1" x="26"/>
        <item h="1" x="20"/>
        <item m="1" x="23"/>
        <item h="1" m="1" x="27"/>
        <item t="default"/>
      </items>
      <autoSortScope>
        <pivotArea dataOnly="0" outline="0" fieldPosition="0">
          <references count="1">
            <reference field="4294967294" count="1" selected="0">
              <x v="0"/>
            </reference>
          </references>
        </pivotArea>
      </autoSortScope>
    </pivotField>
    <pivotField showAll="0">
      <items count="52">
        <item m="1" x="29"/>
        <item x="6"/>
        <item m="1" x="35"/>
        <item x="21"/>
        <item x="3"/>
        <item x="15"/>
        <item m="1" x="49"/>
        <item m="1" x="45"/>
        <item m="1" x="44"/>
        <item x="16"/>
        <item x="14"/>
        <item x="4"/>
        <item m="1" x="26"/>
        <item m="1" x="31"/>
        <item m="1" x="32"/>
        <item x="20"/>
        <item x="10"/>
        <item m="1" x="36"/>
        <item m="1" x="42"/>
        <item m="1" x="46"/>
        <item x="17"/>
        <item m="1" x="30"/>
        <item m="1" x="37"/>
        <item x="18"/>
        <item m="1" x="38"/>
        <item m="1" x="50"/>
        <item m="1" x="48"/>
        <item x="0"/>
        <item x="7"/>
        <item m="1" x="33"/>
        <item m="1" x="25"/>
        <item m="1" x="39"/>
        <item x="12"/>
        <item x="13"/>
        <item sd="0" x="22"/>
        <item m="1" x="41"/>
        <item m="1" x="34"/>
        <item x="19"/>
        <item x="23"/>
        <item m="1" x="27"/>
        <item m="1" x="40"/>
        <item x="11"/>
        <item m="1" x="43"/>
        <item x="5"/>
        <item x="9"/>
        <item x="24"/>
        <item x="2"/>
        <item m="1" x="47"/>
        <item x="8"/>
        <item m="1" x="28"/>
        <item x="1"/>
        <item t="default"/>
      </items>
    </pivotField>
    <pivotField showAll="0" defaultSubtotal="0"/>
    <pivotField dataField="1" showAll="0"/>
    <pivotField showAll="0"/>
    <pivotField showAll="0"/>
    <pivotField showAll="0" defaultSubtotal="0"/>
    <pivotField showAll="0"/>
    <pivotField showAll="0" defaultSubtotal="0"/>
    <pivotField showAll="0">
      <items count="36">
        <item x="5"/>
        <item x="3"/>
        <item x="7"/>
        <item x="16"/>
        <item x="6"/>
        <item m="1" x="22"/>
        <item m="1" x="23"/>
        <item m="1" x="21"/>
        <item m="1" x="25"/>
        <item m="1" x="30"/>
        <item m="1" x="24"/>
        <item m="1" x="32"/>
        <item m="1" x="31"/>
        <item m="1" x="28"/>
        <item m="1" x="34"/>
        <item m="1" x="26"/>
        <item m="1" x="33"/>
        <item m="1" x="27"/>
        <item m="1" x="29"/>
        <item m="1" x="20"/>
        <item x="12"/>
        <item x="14"/>
        <item x="13"/>
        <item x="10"/>
        <item x="8"/>
        <item x="11"/>
        <item x="17"/>
        <item x="18"/>
        <item x="9"/>
        <item x="15"/>
        <item x="1"/>
        <item x="19"/>
        <item x="2"/>
        <item x="4"/>
        <item x="0"/>
        <item t="default"/>
      </items>
    </pivotField>
    <pivotField axis="axisPage" numFmtId="14" multipleItemSelectionAllowed="1" showAll="0" sortType="ascending">
      <items count="38">
        <item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0"/>
        <item t="default"/>
      </items>
      <autoSortScope>
        <pivotArea dataOnly="0" outline="0" fieldPosition="0">
          <references count="1">
            <reference field="4294967294" count="1" selected="0">
              <x v="0"/>
            </reference>
          </references>
        </pivotArea>
      </autoSortScope>
    </pivotField>
    <pivotField showAll="0"/>
    <pivotField showAll="0" defaultSubtotal="0"/>
    <pivotField showAll="0" defaultSubtotal="0"/>
    <pivotField numFmtId="2" showAll="0"/>
    <pivotField numFmtId="1" showAll="0"/>
    <pivotField showAll="0"/>
    <pivotField showAll="0" defaultSubtotal="0"/>
    <pivotField showAll="0" defaultSubtotal="0"/>
    <pivotField showAll="0" defaultSubtotal="0">
      <items count="33">
        <item x="17"/>
        <item n="Coal Mining" sd="0" x="0"/>
        <item n="Other/Unspecified" sd="0" x="1"/>
        <item x="2"/>
        <item x="3"/>
        <item x="4"/>
        <item x="5"/>
        <item x="6"/>
        <item x="7"/>
        <item x="8"/>
        <item x="9"/>
        <item x="10"/>
        <item x="11"/>
        <item x="12"/>
        <item x="13"/>
        <item x="14"/>
        <item x="15"/>
        <item x="16"/>
        <item n="Coal Power Plant Emissions Control2" x="18"/>
        <item x="19"/>
        <item x="20"/>
        <item x="21"/>
        <item x="22"/>
        <item x="23"/>
        <item x="24"/>
        <item x="25"/>
        <item x="26"/>
        <item x="27"/>
        <item x="28"/>
        <item x="29"/>
        <item x="30"/>
        <item x="31"/>
        <item x="32"/>
      </items>
    </pivotField>
    <pivotField showAll="0" defaultSubtotal="0">
      <items count="46">
        <item x="5"/>
        <item x="4"/>
        <item x="9"/>
        <item x="3"/>
        <item x="1"/>
        <item x="2"/>
        <item x="12"/>
        <item x="11"/>
        <item x="0"/>
        <item x="8"/>
        <item x="6"/>
        <item x="7"/>
        <item x="10"/>
        <item x="18"/>
        <item x="15"/>
        <item x="16"/>
        <item x="17"/>
        <item x="13"/>
        <item x="14"/>
        <item x="19"/>
        <item x="20"/>
        <item x="21"/>
        <item x="22"/>
        <item x="23"/>
        <item x="24"/>
        <item x="25"/>
        <item x="26"/>
        <item x="27"/>
        <item x="28"/>
        <item x="29"/>
        <item x="30"/>
        <item x="31"/>
        <item x="32"/>
        <item x="33"/>
        <item x="34"/>
        <item x="35"/>
        <item x="36"/>
        <item x="37"/>
        <item x="38"/>
        <item x="39"/>
        <item x="40"/>
        <item x="41"/>
        <item x="42"/>
        <item x="43"/>
        <item x="44"/>
        <item x="45"/>
      </items>
    </pivotField>
  </pivotFields>
  <rowFields count="1">
    <field x="0"/>
  </rowFields>
  <rowItems count="5">
    <i>
      <x v="1"/>
    </i>
    <i>
      <x v="6"/>
    </i>
    <i>
      <x v="19"/>
    </i>
    <i>
      <x v="8"/>
    </i>
    <i t="grand">
      <x/>
    </i>
  </rowItems>
  <colItems count="1">
    <i/>
  </colItems>
  <pageFields count="1">
    <pageField fld="10" hier="-1"/>
  </pageFields>
  <dataFields count="1">
    <dataField name="Sum of Amount (in USD)" fld="3" baseField="6" baseItem="18"/>
  </dataFields>
  <formats count="3">
    <format dxfId="54">
      <pivotArea field="0" type="button" dataOnly="0" labelOnly="1" outline="0" axis="axisRow" fieldPosition="0"/>
    </format>
    <format dxfId="53">
      <pivotArea dataOnly="0" labelOnly="1" grandCol="1" outline="0" fieldPosition="0"/>
    </format>
    <format dxfId="52">
      <pivotArea grandCol="1" outline="0" collapsedLevelsAreSubtotals="1" fieldPosition="0"/>
    </format>
  </formats>
  <chartFormats count="2">
    <chartFormat chart="2" format="760" series="1">
      <pivotArea type="data" outline="0" fieldPosition="0">
        <references count="1">
          <reference field="4294967294" count="1" selected="0">
            <x v="0"/>
          </reference>
        </references>
      </pivotArea>
    </chartFormat>
    <chartFormat chart="49" format="76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ending Country"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50">
  <location ref="G4:H25" firstHeaderRow="1" firstDataRow="1" firstDataCol="1" rowPageCount="1" colPageCount="1"/>
  <pivotFields count="21">
    <pivotField axis="axisRow" showAll="0" sortType="descending">
      <items count="30">
        <item x="4"/>
        <item x="2"/>
        <item x="10"/>
        <item h="1" m="1" x="21"/>
        <item m="1" x="25"/>
        <item m="1" x="22"/>
        <item x="0"/>
        <item m="1" x="24"/>
        <item x="3"/>
        <item x="9"/>
        <item x="7"/>
        <item x="8"/>
        <item x="6"/>
        <item x="18"/>
        <item x="5"/>
        <item x="14"/>
        <item x="19"/>
        <item x="12"/>
        <item x="17"/>
        <item x="1"/>
        <item x="11"/>
        <item m="1" x="28"/>
        <item x="13"/>
        <item x="15"/>
        <item x="16"/>
        <item h="1" m="1" x="26"/>
        <item h="1" x="20"/>
        <item m="1" x="23"/>
        <item h="1" m="1" x="27"/>
        <item t="default"/>
      </items>
      <autoSortScope>
        <pivotArea dataOnly="0" outline="0" fieldPosition="0">
          <references count="1">
            <reference field="4294967294" count="1" selected="0">
              <x v="0"/>
            </reference>
          </references>
        </pivotArea>
      </autoSortScope>
    </pivotField>
    <pivotField showAll="0">
      <items count="52">
        <item m="1" x="29"/>
        <item x="6"/>
        <item m="1" x="35"/>
        <item x="21"/>
        <item x="3"/>
        <item x="15"/>
        <item m="1" x="49"/>
        <item m="1" x="45"/>
        <item m="1" x="44"/>
        <item x="16"/>
        <item x="14"/>
        <item x="4"/>
        <item m="1" x="26"/>
        <item m="1" x="31"/>
        <item m="1" x="32"/>
        <item x="20"/>
        <item x="10"/>
        <item m="1" x="36"/>
        <item m="1" x="42"/>
        <item m="1" x="46"/>
        <item x="17"/>
        <item m="1" x="30"/>
        <item m="1" x="37"/>
        <item x="18"/>
        <item m="1" x="38"/>
        <item m="1" x="50"/>
        <item m="1" x="48"/>
        <item x="0"/>
        <item x="7"/>
        <item m="1" x="33"/>
        <item m="1" x="25"/>
        <item m="1" x="39"/>
        <item x="12"/>
        <item x="13"/>
        <item sd="0" x="22"/>
        <item m="1" x="41"/>
        <item m="1" x="34"/>
        <item x="19"/>
        <item x="23"/>
        <item m="1" x="27"/>
        <item m="1" x="40"/>
        <item x="11"/>
        <item m="1" x="43"/>
        <item x="5"/>
        <item x="9"/>
        <item x="24"/>
        <item x="2"/>
        <item m="1" x="47"/>
        <item x="8"/>
        <item m="1" x="28"/>
        <item x="1"/>
        <item t="default"/>
      </items>
    </pivotField>
    <pivotField showAll="0" defaultSubtotal="0"/>
    <pivotField dataField="1" showAll="0"/>
    <pivotField showAll="0"/>
    <pivotField showAll="0"/>
    <pivotField showAll="0" defaultSubtotal="0"/>
    <pivotField showAll="0"/>
    <pivotField showAll="0" defaultSubtotal="0"/>
    <pivotField showAll="0">
      <items count="36">
        <item x="5"/>
        <item x="3"/>
        <item x="7"/>
        <item x="16"/>
        <item x="6"/>
        <item m="1" x="22"/>
        <item m="1" x="23"/>
        <item m="1" x="21"/>
        <item m="1" x="25"/>
        <item m="1" x="30"/>
        <item m="1" x="24"/>
        <item m="1" x="32"/>
        <item m="1" x="31"/>
        <item m="1" x="28"/>
        <item m="1" x="34"/>
        <item m="1" x="26"/>
        <item m="1" x="33"/>
        <item m="1" x="27"/>
        <item m="1" x="29"/>
        <item m="1" x="20"/>
        <item x="12"/>
        <item x="14"/>
        <item x="13"/>
        <item x="10"/>
        <item x="8"/>
        <item x="11"/>
        <item x="17"/>
        <item x="18"/>
        <item x="9"/>
        <item x="15"/>
        <item x="1"/>
        <item x="19"/>
        <item x="2"/>
        <item x="4"/>
        <item x="0"/>
        <item t="default"/>
      </items>
    </pivotField>
    <pivotField axis="axisPage" numFmtId="14" multipleItemSelectionAllowed="1" showAll="0" sortType="ascending">
      <items count="38">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h="1" x="0"/>
        <item t="default"/>
      </items>
      <autoSortScope>
        <pivotArea dataOnly="0" outline="0" fieldPosition="0">
          <references count="1">
            <reference field="4294967294" count="1" selected="0">
              <x v="0"/>
            </reference>
          </references>
        </pivotArea>
      </autoSortScope>
    </pivotField>
    <pivotField showAll="0"/>
    <pivotField showAll="0" defaultSubtotal="0"/>
    <pivotField showAll="0" defaultSubtotal="0"/>
    <pivotField numFmtId="2" showAll="0"/>
    <pivotField numFmtId="1" showAll="0"/>
    <pivotField showAll="0"/>
    <pivotField showAll="0" defaultSubtotal="0"/>
    <pivotField showAll="0" defaultSubtotal="0"/>
    <pivotField showAll="0" defaultSubtotal="0">
      <items count="33">
        <item x="17"/>
        <item n="Coal Mining" sd="0" x="0"/>
        <item n="Other/Unspecified" sd="0" x="1"/>
        <item x="2"/>
        <item x="3"/>
        <item x="4"/>
        <item x="5"/>
        <item x="6"/>
        <item x="7"/>
        <item x="8"/>
        <item x="9"/>
        <item x="10"/>
        <item x="11"/>
        <item x="12"/>
        <item x="13"/>
        <item x="14"/>
        <item x="15"/>
        <item x="16"/>
        <item n="Coal Power Plant Emissions Control2" x="18"/>
        <item x="19"/>
        <item x="20"/>
        <item x="21"/>
        <item x="22"/>
        <item x="23"/>
        <item x="24"/>
        <item x="25"/>
        <item x="26"/>
        <item x="27"/>
        <item x="28"/>
        <item x="29"/>
        <item x="30"/>
        <item x="31"/>
        <item x="32"/>
      </items>
    </pivotField>
    <pivotField showAll="0" defaultSubtotal="0">
      <items count="46">
        <item x="5"/>
        <item x="4"/>
        <item x="9"/>
        <item x="3"/>
        <item x="1"/>
        <item x="2"/>
        <item x="12"/>
        <item x="11"/>
        <item x="0"/>
        <item x="8"/>
        <item x="6"/>
        <item x="7"/>
        <item x="10"/>
        <item x="18"/>
        <item x="15"/>
        <item x="16"/>
        <item x="17"/>
        <item x="13"/>
        <item x="14"/>
        <item x="19"/>
        <item x="20"/>
        <item x="21"/>
        <item x="22"/>
        <item x="23"/>
        <item x="24"/>
        <item x="25"/>
        <item x="26"/>
        <item x="27"/>
        <item x="28"/>
        <item x="29"/>
        <item x="30"/>
        <item x="31"/>
        <item x="32"/>
        <item x="33"/>
        <item x="34"/>
        <item x="35"/>
        <item x="36"/>
        <item x="37"/>
        <item x="38"/>
        <item x="39"/>
        <item x="40"/>
        <item x="41"/>
        <item x="42"/>
        <item x="43"/>
        <item x="44"/>
        <item x="45"/>
      </items>
    </pivotField>
  </pivotFields>
  <rowFields count="1">
    <field x="0"/>
  </rowFields>
  <rowItems count="21">
    <i>
      <x v="1"/>
    </i>
    <i>
      <x v="6"/>
    </i>
    <i>
      <x v="8"/>
    </i>
    <i>
      <x v="14"/>
    </i>
    <i>
      <x/>
    </i>
    <i>
      <x v="12"/>
    </i>
    <i>
      <x v="10"/>
    </i>
    <i>
      <x v="11"/>
    </i>
    <i>
      <x v="19"/>
    </i>
    <i>
      <x v="9"/>
    </i>
    <i>
      <x v="2"/>
    </i>
    <i>
      <x v="20"/>
    </i>
    <i>
      <x v="17"/>
    </i>
    <i>
      <x v="22"/>
    </i>
    <i>
      <x v="15"/>
    </i>
    <i>
      <x v="23"/>
    </i>
    <i>
      <x v="24"/>
    </i>
    <i>
      <x v="18"/>
    </i>
    <i>
      <x v="13"/>
    </i>
    <i>
      <x v="16"/>
    </i>
    <i t="grand">
      <x/>
    </i>
  </rowItems>
  <colItems count="1">
    <i/>
  </colItems>
  <pageFields count="1">
    <pageField fld="10" hier="-1"/>
  </pageFields>
  <dataFields count="1">
    <dataField name="Sum of Amount (in USD)" fld="3" baseField="6" baseItem="18"/>
  </dataFields>
  <formats count="3">
    <format dxfId="51">
      <pivotArea field="0" type="button" dataOnly="0" labelOnly="1" outline="0" axis="axisRow" fieldPosition="0"/>
    </format>
    <format dxfId="50">
      <pivotArea dataOnly="0" labelOnly="1" grandCol="1" outline="0" fieldPosition="0"/>
    </format>
    <format dxfId="49">
      <pivotArea grandCol="1" outline="0" collapsedLevelsAreSubtotals="1" fieldPosition="0"/>
    </format>
  </formats>
  <chartFormats count="1">
    <chartFormat chart="2" format="76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40">
  <location ref="F6:J17" firstHeaderRow="1" firstDataRow="2" firstDataCol="1" rowPageCount="1" colPageCount="1"/>
  <pivotFields count="22">
    <pivotField axis="axisPage" multipleItemSelectionAllowed="1" showAll="0">
      <items count="40">
        <item m="1" x="32"/>
        <item m="1" x="33"/>
        <item x="0"/>
        <item x="1"/>
        <item m="1" x="38"/>
        <item x="2"/>
        <item x="3"/>
        <item x="4"/>
        <item x="5"/>
        <item m="1" x="34"/>
        <item h="1" m="1" x="30"/>
        <item m="1" x="35"/>
        <item m="1" x="29"/>
        <item m="1" x="22"/>
        <item m="1" x="28"/>
        <item x="6"/>
        <item x="7"/>
        <item m="1" x="27"/>
        <item x="8"/>
        <item x="9"/>
        <item m="1" x="23"/>
        <item x="10"/>
        <item x="11"/>
        <item m="1" x="25"/>
        <item x="12"/>
        <item m="1" x="31"/>
        <item m="1" x="36"/>
        <item x="13"/>
        <item x="14"/>
        <item m="1" x="20"/>
        <item m="1" x="37"/>
        <item x="15"/>
        <item x="16"/>
        <item m="1" x="26"/>
        <item m="1" x="24"/>
        <item x="17"/>
        <item x="18"/>
        <item x="19"/>
        <item m="1" x="21"/>
        <item t="default"/>
      </items>
    </pivotField>
    <pivotField showAll="0">
      <items count="35">
        <item x="3"/>
        <item x="5"/>
        <item x="13"/>
        <item x="14"/>
        <item x="12"/>
        <item x="8"/>
        <item x="32"/>
        <item x="2"/>
        <item x="22"/>
        <item x="23"/>
        <item x="15"/>
        <item x="17"/>
        <item x="21"/>
        <item x="30"/>
        <item x="20"/>
        <item x="31"/>
        <item x="4"/>
        <item x="1"/>
        <item x="0"/>
        <item x="6"/>
        <item x="7"/>
        <item x="27"/>
        <item x="28"/>
        <item x="24"/>
        <item x="9"/>
        <item x="10"/>
        <item x="11"/>
        <item x="16"/>
        <item x="18"/>
        <item x="19"/>
        <item x="25"/>
        <item x="26"/>
        <item x="29"/>
        <item m="1" x="33"/>
        <item t="default"/>
      </items>
    </pivotField>
    <pivotField axis="axisCol" showAll="0">
      <items count="45">
        <item m="1" x="10"/>
        <item m="1" x="38"/>
        <item m="1" x="26"/>
        <item m="1" x="23"/>
        <item m="1" x="18"/>
        <item m="1" x="32"/>
        <item m="1" x="5"/>
        <item m="1" x="3"/>
        <item m="1" x="8"/>
        <item m="1" x="19"/>
        <item m="1" x="41"/>
        <item m="1" x="24"/>
        <item m="1" x="35"/>
        <item m="1" x="9"/>
        <item m="1" x="27"/>
        <item m="1" x="4"/>
        <item m="1" x="25"/>
        <item m="1" x="16"/>
        <item m="1" x="36"/>
        <item m="1" x="33"/>
        <item m="1" x="15"/>
        <item m="1" x="13"/>
        <item m="1" x="17"/>
        <item m="1" x="14"/>
        <item m="1" x="21"/>
        <item m="1" x="28"/>
        <item m="1" x="20"/>
        <item m="1" x="29"/>
        <item m="1" x="37"/>
        <item m="1" x="11"/>
        <item m="1" x="30"/>
        <item m="1" x="40"/>
        <item m="1" x="7"/>
        <item m="1" x="39"/>
        <item m="1" x="34"/>
        <item m="1" x="22"/>
        <item m="1" x="43"/>
        <item m="1" x="6"/>
        <item m="1" x="31"/>
        <item m="1" x="12"/>
        <item m="1" x="42"/>
        <item x="1"/>
        <item x="0"/>
        <item n="Other Public Finance" x="2"/>
        <item t="default"/>
      </items>
    </pivotField>
    <pivotField dataField="1" showAll="0"/>
    <pivotField axis="axisRow" showAll="0">
      <items count="324">
        <item m="1" x="318"/>
        <item m="1" x="237"/>
        <item m="1" x="261"/>
        <item m="1" x="215"/>
        <item x="128"/>
        <item x="0"/>
        <item x="73"/>
        <item m="1" x="294"/>
        <item m="1" x="316"/>
        <item x="104"/>
        <item x="85"/>
        <item x="37"/>
        <item x="112"/>
        <item x="206"/>
        <item m="1" x="267"/>
        <item x="48"/>
        <item x="208"/>
        <item x="158"/>
        <item x="118"/>
        <item x="122"/>
        <item m="1" x="276"/>
        <item x="198"/>
        <item x="42"/>
        <item m="1" x="285"/>
        <item m="1" x="306"/>
        <item x="84"/>
        <item m="1" x="224"/>
        <item x="65"/>
        <item x="76"/>
        <item m="1" x="284"/>
        <item x="30"/>
        <item m="1" x="271"/>
        <item x="133"/>
        <item x="60"/>
        <item m="1" x="241"/>
        <item x="138"/>
        <item x="191"/>
        <item x="189"/>
        <item m="1" x="282"/>
        <item x="192"/>
        <item x="184"/>
        <item x="200"/>
        <item x="70"/>
        <item x="125"/>
        <item x="18"/>
        <item x="52"/>
        <item x="43"/>
        <item x="167"/>
        <item x="99"/>
        <item m="1" x="266"/>
        <item x="40"/>
        <item x="3"/>
        <item x="51"/>
        <item x="190"/>
        <item x="34"/>
        <item x="205"/>
        <item x="8"/>
        <item m="1" x="234"/>
        <item x="100"/>
        <item x="114"/>
        <item x="183"/>
        <item x="173"/>
        <item x="143"/>
        <item x="7"/>
        <item x="39"/>
        <item x="62"/>
        <item x="17"/>
        <item x="20"/>
        <item x="16"/>
        <item x="10"/>
        <item x="22"/>
        <item x="25"/>
        <item x="9"/>
        <item x="153"/>
        <item x="79"/>
        <item x="26"/>
        <item x="2"/>
        <item x="36"/>
        <item x="27"/>
        <item x="136"/>
        <item x="45"/>
        <item x="195"/>
        <item x="19"/>
        <item x="120"/>
        <item x="61"/>
        <item x="197"/>
        <item x="116"/>
        <item x="121"/>
        <item x="108"/>
        <item x="107"/>
        <item x="188"/>
        <item x="168"/>
        <item x="55"/>
        <item x="127"/>
        <item x="156"/>
        <item m="1" x="212"/>
        <item x="149"/>
        <item x="161"/>
        <item x="66"/>
        <item x="196"/>
        <item x="162"/>
        <item m="1" x="247"/>
        <item m="1" x="245"/>
        <item x="49"/>
        <item x="124"/>
        <item x="142"/>
        <item x="5"/>
        <item x="111"/>
        <item m="1" x="255"/>
        <item x="53"/>
        <item x="109"/>
        <item x="157"/>
        <item x="6"/>
        <item x="164"/>
        <item x="179"/>
        <item m="1" x="299"/>
        <item m="1" x="233"/>
        <item x="147"/>
        <item x="166"/>
        <item x="152"/>
        <item m="1" x="228"/>
        <item x="155"/>
        <item x="28"/>
        <item x="38"/>
        <item m="1" x="216"/>
        <item x="154"/>
        <item m="1" x="258"/>
        <item m="1" x="301"/>
        <item x="69"/>
        <item x="123"/>
        <item x="58"/>
        <item x="14"/>
        <item x="33"/>
        <item x="54"/>
        <item x="139"/>
        <item x="207"/>
        <item x="160"/>
        <item x="209"/>
        <item x="23"/>
        <item x="140"/>
        <item x="185"/>
        <item x="146"/>
        <item x="24"/>
        <item m="1" x="298"/>
        <item x="44"/>
        <item m="1" x="236"/>
        <item m="1" x="300"/>
        <item x="63"/>
        <item x="106"/>
        <item x="186"/>
        <item x="187"/>
        <item x="102"/>
        <item m="1" x="270"/>
        <item x="12"/>
        <item x="145"/>
        <item x="135"/>
        <item x="165"/>
        <item x="137"/>
        <item x="103"/>
        <item x="80"/>
        <item x="201"/>
        <item x="67"/>
        <item x="21"/>
        <item x="15"/>
        <item x="176"/>
        <item x="132"/>
        <item m="1" x="221"/>
        <item x="56"/>
        <item m="1" x="277"/>
        <item m="1" x="242"/>
        <item x="89"/>
        <item x="119"/>
        <item x="74"/>
        <item m="1" x="275"/>
        <item x="83"/>
        <item x="29"/>
        <item x="150"/>
        <item x="170"/>
        <item x="182"/>
        <item m="1" x="217"/>
        <item x="175"/>
        <item x="98"/>
        <item x="110"/>
        <item x="105"/>
        <item x="13"/>
        <item x="1"/>
        <item x="163"/>
        <item x="141"/>
        <item m="1" x="293"/>
        <item x="171"/>
        <item x="113"/>
        <item m="1" x="238"/>
        <item m="1" x="292"/>
        <item m="1" x="280"/>
        <item x="101"/>
        <item x="46"/>
        <item m="1" x="231"/>
        <item m="1" x="229"/>
        <item m="1" x="317"/>
        <item m="1" x="304"/>
        <item m="1" x="308"/>
        <item m="1" x="313"/>
        <item m="1" x="319"/>
        <item m="1" x="322"/>
        <item x="50"/>
        <item m="1" x="219"/>
        <item x="174"/>
        <item x="169"/>
        <item x="177"/>
        <item x="117"/>
        <item x="115"/>
        <item x="126"/>
        <item x="159"/>
        <item x="172"/>
        <item x="144"/>
        <item x="41"/>
        <item m="1" x="310"/>
        <item m="1" x="302"/>
        <item m="1" x="222"/>
        <item x="4"/>
        <item m="1" x="278"/>
        <item x="32"/>
        <item x="35"/>
        <item x="148"/>
        <item x="151"/>
        <item m="1" x="214"/>
        <item x="57"/>
        <item x="59"/>
        <item x="204"/>
        <item x="47"/>
        <item x="210"/>
        <item x="134"/>
        <item m="1" x="268"/>
        <item m="1" x="254"/>
        <item m="1" x="295"/>
        <item m="1" x="246"/>
        <item m="1" x="315"/>
        <item x="90"/>
        <item m="1" x="309"/>
        <item m="1" x="321"/>
        <item m="1" x="253"/>
        <item m="1" x="257"/>
        <item m="1" x="274"/>
        <item m="1" x="264"/>
        <item m="1" x="230"/>
        <item m="1" x="235"/>
        <item m="1" x="287"/>
        <item m="1" x="312"/>
        <item m="1" x="265"/>
        <item m="1" x="240"/>
        <item m="1" x="290"/>
        <item m="1" x="288"/>
        <item m="1" x="305"/>
        <item m="1" x="303"/>
        <item m="1" x="252"/>
        <item m="1" x="256"/>
        <item m="1" x="273"/>
        <item m="1" x="263"/>
        <item m="1" x="314"/>
        <item m="1" x="259"/>
        <item m="1" x="251"/>
        <item m="1" x="213"/>
        <item m="1" x="291"/>
        <item m="1" x="289"/>
        <item m="1" x="260"/>
        <item m="1" x="244"/>
        <item m="1" x="249"/>
        <item m="1" x="232"/>
        <item m="1" x="248"/>
        <item m="1" x="211"/>
        <item x="71"/>
        <item x="64"/>
        <item m="1" x="272"/>
        <item x="81"/>
        <item x="82"/>
        <item x="87"/>
        <item x="86"/>
        <item m="1" x="296"/>
        <item x="77"/>
        <item x="94"/>
        <item x="96"/>
        <item x="181"/>
        <item m="1" x="279"/>
        <item m="1" x="320"/>
        <item m="1" x="283"/>
        <item m="1" x="225"/>
        <item m="1" x="227"/>
        <item x="95"/>
        <item x="11"/>
        <item x="31"/>
        <item m="1" x="239"/>
        <item m="1" x="269"/>
        <item m="1" x="281"/>
        <item x="129"/>
        <item m="1" x="218"/>
        <item m="1" x="250"/>
        <item x="203"/>
        <item x="202"/>
        <item x="199"/>
        <item x="194"/>
        <item m="1" x="286"/>
        <item x="130"/>
        <item x="131"/>
        <item x="97"/>
        <item m="1" x="311"/>
        <item x="72"/>
        <item m="1" x="223"/>
        <item m="1" x="262"/>
        <item x="68"/>
        <item x="93"/>
        <item x="91"/>
        <item m="1" x="226"/>
        <item m="1" x="220"/>
        <item x="88"/>
        <item x="92"/>
        <item x="193"/>
        <item x="178"/>
        <item m="1" x="307"/>
        <item x="180"/>
        <item m="1" x="297"/>
        <item m="1" x="243"/>
        <item x="75"/>
        <item x="78"/>
        <item t="default"/>
      </items>
    </pivotField>
    <pivotField showAll="0"/>
    <pivotField showAll="0" defaultSubtotal="0"/>
    <pivotField showAll="0"/>
    <pivotField showAll="0" defaultSubtotal="0"/>
    <pivotField showAll="0">
      <items count="42">
        <item m="1" x="26"/>
        <item m="1" x="27"/>
        <item m="1" x="36"/>
        <item m="1" x="33"/>
        <item m="1" x="32"/>
        <item m="1" x="39"/>
        <item m="1" x="28"/>
        <item m="1" x="35"/>
        <item m="1" x="31"/>
        <item m="1" x="38"/>
        <item m="1" x="37"/>
        <item m="1" x="40"/>
        <item m="1" x="34"/>
        <item m="1" x="29"/>
        <item m="1" x="30"/>
        <item x="17"/>
        <item x="6"/>
        <item x="16"/>
        <item x="2"/>
        <item x="7"/>
        <item x="22"/>
        <item x="18"/>
        <item x="1"/>
        <item x="0"/>
        <item x="3"/>
        <item x="14"/>
        <item x="8"/>
        <item x="12"/>
        <item x="24"/>
        <item x="20"/>
        <item x="21"/>
        <item x="15"/>
        <item x="4"/>
        <item x="25"/>
        <item x="19"/>
        <item x="5"/>
        <item x="13"/>
        <item x="10"/>
        <item x="11"/>
        <item x="23"/>
        <item x="9"/>
        <item t="default"/>
      </items>
    </pivotField>
    <pivotField axis="axisRow" numFmtId="175" showAll="0">
      <items count="12">
        <item sd="0" x="0"/>
        <item sd="0" x="1"/>
        <item sd="0" x="2"/>
        <item sd="0" x="3"/>
        <item sd="0" x="4"/>
        <item sd="0" x="5"/>
        <item sd="0" x="6"/>
        <item sd="0" x="7"/>
        <item sd="0" x="8"/>
        <item sd="0" x="9"/>
        <item x="10"/>
        <item t="default" sd="0"/>
      </items>
    </pivotField>
    <pivotField showAll="0"/>
    <pivotField showAll="0" defaultSubtotal="0"/>
    <pivotField showAll="0" defaultSubtotal="0"/>
    <pivotField showAll="0"/>
    <pivotField showAll="0"/>
    <pivotField showAll="0"/>
    <pivotField showAll="0"/>
    <pivotField showAll="0" defaultSubtotal="0"/>
    <pivotField showAll="0" defaultSubtotal="0"/>
    <pivotField showAll="0" defaultSubtotal="0">
      <items count="33">
        <item x="26"/>
        <item x="17"/>
        <item x="0"/>
        <item x="1"/>
        <item x="2"/>
        <item x="3"/>
        <item x="4"/>
        <item x="5"/>
        <item x="6"/>
        <item x="7"/>
        <item x="8"/>
        <item x="9"/>
        <item x="10"/>
        <item x="11"/>
        <item x="12"/>
        <item x="13"/>
        <item x="14"/>
        <item x="15"/>
        <item x="27"/>
        <item x="16"/>
        <item x="18"/>
        <item x="19"/>
        <item x="20"/>
        <item x="21"/>
        <item x="22"/>
        <item x="23"/>
        <item x="24"/>
        <item x="25"/>
        <item x="28"/>
        <item x="29"/>
        <item x="30"/>
        <item x="31"/>
        <item x="32"/>
      </items>
    </pivotField>
    <pivotField showAll="0" defaultSubtota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s>
  <rowFields count="2">
    <field x="10"/>
    <field x="4"/>
  </rowFields>
  <rowItems count="10">
    <i>
      <x v="1"/>
    </i>
    <i>
      <x v="2"/>
    </i>
    <i>
      <x v="3"/>
    </i>
    <i>
      <x v="4"/>
    </i>
    <i>
      <x v="5"/>
    </i>
    <i>
      <x v="6"/>
    </i>
    <i>
      <x v="7"/>
    </i>
    <i>
      <x v="8"/>
    </i>
    <i>
      <x v="9"/>
    </i>
    <i t="grand">
      <x/>
    </i>
  </rowItems>
  <colFields count="1">
    <field x="2"/>
  </colFields>
  <colItems count="4">
    <i>
      <x v="41"/>
    </i>
    <i>
      <x v="42"/>
    </i>
    <i>
      <x v="43"/>
    </i>
    <i t="grand">
      <x/>
    </i>
  </colItems>
  <pageFields count="1">
    <pageField fld="0" hier="-1"/>
  </pageFields>
  <dataFields count="1">
    <dataField name="Sum of Amount (in USD)" fld="3" baseField="12" baseItem="3" numFmtId="172"/>
  </dataFields>
  <formats count="2">
    <format dxfId="48">
      <pivotArea dataOnly="0" labelOnly="1" fieldPosition="0">
        <references count="1">
          <reference field="2" count="1">
            <x v="43"/>
          </reference>
        </references>
      </pivotArea>
    </format>
    <format dxfId="47">
      <pivotArea dataOnly="0" labelOnly="1" grandCol="1" outline="0" fieldPosition="0"/>
    </format>
  </formats>
  <chartFormats count="4">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2">
          <reference field="4294967294" count="1" selected="0">
            <x v="0"/>
          </reference>
          <reference field="2" count="1" selected="0">
            <x v="41"/>
          </reference>
        </references>
      </pivotArea>
    </chartFormat>
    <chartFormat chart="0" format="5" series="1">
      <pivotArea type="data" outline="0" fieldPosition="0">
        <references count="2">
          <reference field="4294967294" count="1" selected="0">
            <x v="0"/>
          </reference>
          <reference field="2" count="1" selected="0">
            <x v="42"/>
          </reference>
        </references>
      </pivotArea>
    </chartFormat>
    <chartFormat chart="0" format="6" series="1">
      <pivotArea type="data" outline="0" fieldPosition="0">
        <references count="2">
          <reference field="4294967294" count="1" selected="0">
            <x v="0"/>
          </reference>
          <reference field="2" count="1" selected="0">
            <x v="4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chartFormat="42">
  <location ref="J4:K9" firstHeaderRow="1" firstDataRow="1" firstDataCol="1" rowPageCount="2" colPageCount="1"/>
  <pivotFields count="22">
    <pivotField axis="axisPage" multipleItemSelectionAllowed="1" showAll="0">
      <items count="40">
        <item h="1" m="1" x="32"/>
        <item h="1" m="1" x="33"/>
        <item x="0"/>
        <item x="1"/>
        <item m="1" x="38"/>
        <item x="2"/>
        <item x="3"/>
        <item x="4"/>
        <item x="5"/>
        <item m="1" x="34"/>
        <item h="1" m="1" x="30"/>
        <item h="1" m="1" x="35"/>
        <item m="1" x="29"/>
        <item m="1" x="22"/>
        <item h="1" m="1" x="28"/>
        <item x="6"/>
        <item x="7"/>
        <item h="1" m="1" x="27"/>
        <item x="8"/>
        <item x="9"/>
        <item h="1" m="1" x="23"/>
        <item x="10"/>
        <item x="11"/>
        <item h="1" m="1" x="25"/>
        <item x="12"/>
        <item m="1" x="31"/>
        <item m="1" x="36"/>
        <item x="13"/>
        <item x="14"/>
        <item h="1" m="1" x="20"/>
        <item m="1" x="37"/>
        <item x="15"/>
        <item x="16"/>
        <item m="1" x="26"/>
        <item m="1" x="24"/>
        <item x="17"/>
        <item x="18"/>
        <item x="19"/>
        <item h="1" m="1" x="21"/>
        <item t="default"/>
      </items>
    </pivotField>
    <pivotField showAll="0">
      <items count="35">
        <item x="13"/>
        <item x="14"/>
        <item x="8"/>
        <item x="32"/>
        <item x="22"/>
        <item x="23"/>
        <item x="15"/>
        <item x="17"/>
        <item x="21"/>
        <item x="30"/>
        <item x="20"/>
        <item x="31"/>
        <item x="0"/>
        <item x="1"/>
        <item x="4"/>
        <item x="3"/>
        <item x="2"/>
        <item x="12"/>
        <item x="5"/>
        <item x="6"/>
        <item x="7"/>
        <item x="27"/>
        <item x="28"/>
        <item x="24"/>
        <item x="9"/>
        <item x="10"/>
        <item x="11"/>
        <item x="16"/>
        <item x="18"/>
        <item x="19"/>
        <item x="25"/>
        <item x="26"/>
        <item x="29"/>
        <item m="1" x="33"/>
        <item t="default"/>
      </items>
    </pivotField>
    <pivotField showAll="0" defaultSubtotal="0"/>
    <pivotField dataField="1" showAll="0"/>
    <pivotField showAll="0"/>
    <pivotField showAll="0"/>
    <pivotField showAll="0" defaultSubtotal="0"/>
    <pivotField showAll="0"/>
    <pivotField showAll="0" defaultSubtotal="0"/>
    <pivotField axis="axisRow" showAll="0">
      <items count="42">
        <item x="17"/>
        <item x="16"/>
        <item x="2"/>
        <item x="22"/>
        <item x="1"/>
        <item x="0"/>
        <item x="3"/>
        <item x="18"/>
        <item x="6"/>
        <item x="7"/>
        <item m="1" x="28"/>
        <item m="1" x="29"/>
        <item m="1" x="27"/>
        <item m="1" x="31"/>
        <item m="1" x="36"/>
        <item m="1" x="30"/>
        <item m="1" x="38"/>
        <item m="1" x="37"/>
        <item m="1" x="34"/>
        <item m="1" x="40"/>
        <item m="1" x="32"/>
        <item m="1" x="39"/>
        <item m="1" x="33"/>
        <item m="1" x="35"/>
        <item m="1" x="26"/>
        <item x="14"/>
        <item x="8"/>
        <item x="12"/>
        <item x="24"/>
        <item x="20"/>
        <item x="21"/>
        <item x="15"/>
        <item x="4"/>
        <item x="25"/>
        <item x="19"/>
        <item x="5"/>
        <item x="13"/>
        <item x="10"/>
        <item x="11"/>
        <item x="23"/>
        <item x="9"/>
        <item t="default"/>
      </items>
    </pivotField>
    <pivotField axis="axisPage" numFmtId="14" multipleItemSelectionAllowed="1" showAll="0">
      <items count="12">
        <item x="0"/>
        <item x="1"/>
        <item x="2"/>
        <item x="3"/>
        <item x="4"/>
        <item x="5"/>
        <item x="6"/>
        <item x="7"/>
        <item x="8"/>
        <item x="9"/>
        <item x="10"/>
        <item t="default"/>
      </items>
    </pivotField>
    <pivotField showAl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name="Sector2" axis="axisRow" showAll="0">
      <items count="34">
        <item n="Other/Unspecified" sd="0" x="0"/>
        <item n="Coal Mining" sd="0" x="26"/>
        <item n="Coal Power Plant" sd="0" x="27"/>
        <item n="Transmission &amp; Distribution" sd="0" x="17"/>
        <item h="1" x="1"/>
        <item h="1" x="2"/>
        <item h="1" x="3"/>
        <item h="1" x="4"/>
        <item h="1" x="5"/>
        <item h="1" x="6"/>
        <item h="1" x="7"/>
        <item h="1" x="8"/>
        <item h="1" x="9"/>
        <item h="1" x="10"/>
        <item h="1" x="11"/>
        <item h="1" x="12"/>
        <item h="1" x="13"/>
        <item h="1" x="14"/>
        <item h="1" x="15"/>
        <item n="Coal Power Plant Emissions Control" sd="0" x="16"/>
        <item h="1" x="18"/>
        <item h="1" x="19"/>
        <item h="1" x="20"/>
        <item h="1" x="21"/>
        <item h="1" x="22"/>
        <item h="1" x="23"/>
        <item h="1" x="24"/>
        <item h="1" x="25"/>
        <item h="1" x="28"/>
        <item h="1" x="29"/>
        <item h="1" x="30"/>
        <item h="1" x="31"/>
        <item n="Other/Unspecified2" h="1" x="32"/>
        <item t="default"/>
      </items>
      <extLst>
        <ext xmlns:x14="http://schemas.microsoft.com/office/spreadsheetml/2009/9/main" uri="{2946ED86-A175-432a-8AC1-64E0C546D7DE}">
          <x14:pivotField fillDownLabels="1"/>
        </ext>
      </extLst>
    </pivotField>
    <pivotField showAll="0" defaultSubtotal="0">
      <items count="31">
        <item x="5"/>
        <item x="4"/>
        <item x="9"/>
        <item x="3"/>
        <item x="1"/>
        <item x="2"/>
        <item x="10"/>
        <item x="0"/>
        <item x="8"/>
        <item x="6"/>
        <item x="7"/>
        <item x="15"/>
        <item x="12"/>
        <item x="13"/>
        <item x="14"/>
        <item x="11"/>
        <item x="16"/>
        <item x="17"/>
        <item x="18"/>
        <item x="19"/>
        <item x="20"/>
        <item x="21"/>
        <item x="22"/>
        <item x="23"/>
        <item x="24"/>
        <item x="25"/>
        <item x="26"/>
        <item x="27"/>
        <item x="28"/>
        <item x="29"/>
        <item x="30"/>
      </items>
    </pivotField>
  </pivotFields>
  <rowFields count="2">
    <field x="20"/>
    <field x="9"/>
  </rowFields>
  <rowItems count="5">
    <i>
      <x/>
    </i>
    <i>
      <x v="1"/>
    </i>
    <i>
      <x v="2"/>
    </i>
    <i>
      <x v="3"/>
    </i>
    <i>
      <x v="19"/>
    </i>
  </rowItems>
  <colItems count="1">
    <i/>
  </colItems>
  <pageFields count="2">
    <pageField fld="0" hier="-1"/>
    <pageField fld="10" hier="-1"/>
  </pageFields>
  <dataFields count="1">
    <dataField name="Sum of Amount (in USD)" fld="3" showDataAs="percentOfTotal" baseField="18" baseItem="2" numFmtId="10"/>
  </dataFields>
  <chartFormats count="1">
    <chartFormat chart="6" format="4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53">
  <location ref="F4:G15" firstHeaderRow="1" firstDataRow="1" firstDataCol="1" rowPageCount="1" colPageCount="1"/>
  <pivotFields count="22">
    <pivotField axis="axisPage" multipleItemSelectionAllowed="1" showAll="0">
      <items count="40">
        <item m="1" x="32"/>
        <item m="1" x="33"/>
        <item x="0"/>
        <item x="1"/>
        <item m="1" x="38"/>
        <item x="2"/>
        <item x="3"/>
        <item x="4"/>
        <item x="5"/>
        <item m="1" x="34"/>
        <item h="1" m="1" x="30"/>
        <item m="1" x="35"/>
        <item m="1" x="29"/>
        <item m="1" x="22"/>
        <item m="1" x="28"/>
        <item x="6"/>
        <item x="7"/>
        <item m="1" x="27"/>
        <item x="8"/>
        <item x="9"/>
        <item m="1" x="23"/>
        <item x="10"/>
        <item x="11"/>
        <item m="1" x="25"/>
        <item x="12"/>
        <item m="1" x="31"/>
        <item m="1" x="36"/>
        <item x="13"/>
        <item x="14"/>
        <item m="1" x="20"/>
        <item m="1" x="37"/>
        <item x="15"/>
        <item x="16"/>
        <item m="1" x="26"/>
        <item m="1" x="24"/>
        <item x="17"/>
        <item x="18"/>
        <item x="19"/>
        <item m="1" x="21"/>
        <item t="default"/>
      </items>
    </pivotField>
    <pivotField showAll="0">
      <items count="35">
        <item x="13"/>
        <item x="14"/>
        <item x="8"/>
        <item x="32"/>
        <item x="22"/>
        <item x="23"/>
        <item x="15"/>
        <item x="17"/>
        <item x="21"/>
        <item x="30"/>
        <item x="20"/>
        <item x="31"/>
        <item x="0"/>
        <item x="1"/>
        <item x="4"/>
        <item x="3"/>
        <item x="2"/>
        <item x="12"/>
        <item x="5"/>
        <item x="6"/>
        <item x="7"/>
        <item x="27"/>
        <item x="28"/>
        <item x="24"/>
        <item x="9"/>
        <item x="10"/>
        <item x="11"/>
        <item x="16"/>
        <item x="18"/>
        <item x="19"/>
        <item x="25"/>
        <item x="26"/>
        <item x="29"/>
        <item m="1" x="33"/>
        <item t="default"/>
      </items>
    </pivotField>
    <pivotField showAll="0" defaultSubtotal="0"/>
    <pivotField dataField="1" multipleItemSelectionAllowed="1" showAll="0"/>
    <pivotField showAll="0"/>
    <pivotField showAll="0"/>
    <pivotField showAll="0" defaultSubtotal="0"/>
    <pivotField axis="axisRow" showAll="0" measureFilter="1" sortType="descending">
      <items count="82">
        <item sd="0" x="33"/>
        <item sd="0" x="23"/>
        <item sd="0" m="1" x="67"/>
        <item sd="0" x="35"/>
        <item sd="0" x="6"/>
        <item sd="0" x="3"/>
        <item sd="0" m="1" x="76"/>
        <item sd="0" x="56"/>
        <item sd="0" x="1"/>
        <item sd="0" x="11"/>
        <item sd="0" m="1" x="77"/>
        <item sd="0" m="1" x="79"/>
        <item sd="0" x="55"/>
        <item sd="0" m="1" x="71"/>
        <item sd="0" x="34"/>
        <item sd="0" m="1" x="73"/>
        <item sd="0" m="1" x="61"/>
        <item sd="0" x="57"/>
        <item sd="0" x="54"/>
        <item sd="0" m="1" x="65"/>
        <item sd="0" x="46"/>
        <item sd="0" x="43"/>
        <item sd="0" x="27"/>
        <item sd="0" x="32"/>
        <item sd="0" x="45"/>
        <item sd="0" x="4"/>
        <item sd="0" x="15"/>
        <item sd="0" x="16"/>
        <item sd="0" x="10"/>
        <item sd="0" x="38"/>
        <item sd="0" x="50"/>
        <item sd="0" m="1" x="75"/>
        <item sd="0" x="44"/>
        <item sd="0" x="22"/>
        <item sd="0" m="1" x="69"/>
        <item sd="0" x="14"/>
        <item sd="0" x="17"/>
        <item sd="0" x="2"/>
        <item sd="0" x="48"/>
        <item sd="0" x="13"/>
        <item sd="0" m="1" x="74"/>
        <item sd="0" m="1" x="66"/>
        <item sd="0" m="1" x="63"/>
        <item sd="0" x="0"/>
        <item sd="0" x="53"/>
        <item sd="0" x="9"/>
        <item sd="0" x="39"/>
        <item sd="0" x="18"/>
        <item sd="0" m="1" x="72"/>
        <item sd="0" x="12"/>
        <item sd="0" x="25"/>
        <item sd="0" x="19"/>
        <item sd="0" x="5"/>
        <item sd="0" x="30"/>
        <item sd="0" x="29"/>
        <item sd="0" x="28"/>
        <item sd="0" m="1" x="68"/>
        <item sd="0" x="8"/>
        <item sd="0" x="26"/>
        <item sd="0" x="31"/>
        <item sd="0" x="7"/>
        <item sd="0" x="52"/>
        <item sd="0" x="36"/>
        <item sd="0" m="1" x="60"/>
        <item sd="0" x="20"/>
        <item sd="0" x="49"/>
        <item sd="0" x="51"/>
        <item sd="0" x="47"/>
        <item sd="0" x="21"/>
        <item sd="0" x="58"/>
        <item sd="0" x="37"/>
        <item sd="0" m="1" x="78"/>
        <item sd="0" m="1" x="70"/>
        <item sd="0" m="1" x="64"/>
        <item sd="0" m="1" x="62"/>
        <item sd="0" m="1" x="80"/>
        <item sd="0" x="24"/>
        <item sd="0" x="42"/>
        <item sd="0" x="41"/>
        <item sd="0" m="1" x="59"/>
        <item x="40"/>
        <item t="default" sd="0"/>
      </items>
      <autoSortScope>
        <pivotArea dataOnly="0" outline="0" fieldPosition="0">
          <references count="1">
            <reference field="4294967294" count="1" selected="0">
              <x v="0"/>
            </reference>
          </references>
        </pivotArea>
      </autoSortScope>
    </pivotField>
    <pivotField showAll="0" defaultSubtotal="0"/>
    <pivotField showAll="0">
      <items count="42">
        <item x="17"/>
        <item x="16"/>
        <item x="2"/>
        <item x="22"/>
        <item x="1"/>
        <item x="0"/>
        <item x="3"/>
        <item x="18"/>
        <item x="6"/>
        <item x="7"/>
        <item m="1" x="28"/>
        <item m="1" x="29"/>
        <item m="1" x="27"/>
        <item m="1" x="31"/>
        <item m="1" x="36"/>
        <item m="1" x="30"/>
        <item m="1" x="38"/>
        <item m="1" x="37"/>
        <item m="1" x="34"/>
        <item m="1" x="40"/>
        <item m="1" x="32"/>
        <item m="1" x="39"/>
        <item m="1" x="33"/>
        <item m="1" x="35"/>
        <item m="1" x="26"/>
        <item x="14"/>
        <item x="8"/>
        <item x="12"/>
        <item x="24"/>
        <item x="20"/>
        <item x="21"/>
        <item x="15"/>
        <item x="4"/>
        <item x="25"/>
        <item x="19"/>
        <item x="5"/>
        <item x="13"/>
        <item x="10"/>
        <item x="11"/>
        <item x="23"/>
        <item x="9"/>
        <item t="default"/>
      </items>
    </pivotField>
    <pivotField axis="axisRow" numFmtId="14" showAll="0">
      <items count="12">
        <item x="0"/>
        <item x="1"/>
        <item x="2"/>
        <item x="3"/>
        <item x="4"/>
        <item x="5"/>
        <item x="6"/>
        <item x="7"/>
        <item x="8"/>
        <item x="9"/>
        <item x="10"/>
        <item t="default"/>
      </items>
    </pivotField>
    <pivotField showAll="0"/>
    <pivotField showAll="0" defaultSubtotal="0"/>
    <pivotField showAll="0" defaultSubtotal="0"/>
    <pivotField numFmtId="2" showAll="0"/>
    <pivotField numFmtId="1" showAll="0"/>
    <pivotField showAll="0"/>
    <pivotField showAll="0" defaultSubtotal="0"/>
    <pivotField showAll="0" defaultSubtotal="0"/>
    <pivotField showAll="0" defaultSubtotal="0"/>
    <pivotField showAll="0" defaultSubtotal="0">
      <items count="33">
        <item x="27"/>
        <item x="26"/>
        <item x="17"/>
        <item x="0"/>
        <item x="1"/>
        <item x="2"/>
        <item x="3"/>
        <item x="4"/>
        <item x="5"/>
        <item x="6"/>
        <item x="7"/>
        <item x="8"/>
        <item x="9"/>
        <item x="10"/>
        <item x="11"/>
        <item x="12"/>
        <item x="13"/>
        <item x="14"/>
        <item x="15"/>
        <item x="16"/>
        <item x="18"/>
        <item x="19"/>
        <item x="20"/>
        <item x="21"/>
        <item x="22"/>
        <item x="23"/>
        <item x="24"/>
        <item x="25"/>
        <item x="28"/>
        <item x="29"/>
        <item x="30"/>
        <item x="31"/>
        <item x="32"/>
      </items>
    </pivotField>
    <pivotField showAll="0" defaultSubtotal="0">
      <items count="31">
        <item x="0"/>
        <item x="1"/>
        <item x="2"/>
        <item x="3"/>
        <item x="4"/>
        <item x="5"/>
        <item x="6"/>
        <item x="7"/>
        <item x="8"/>
        <item x="9"/>
        <item x="10"/>
        <item x="15"/>
        <item x="12"/>
        <item x="13"/>
        <item x="14"/>
        <item x="11"/>
        <item x="16"/>
        <item x="17"/>
        <item x="18"/>
        <item x="19"/>
        <item x="20"/>
        <item x="21"/>
        <item x="22"/>
        <item x="23"/>
        <item x="24"/>
        <item x="25"/>
        <item x="26"/>
        <item x="27"/>
        <item x="28"/>
        <item x="29"/>
        <item x="30"/>
      </items>
    </pivotField>
  </pivotFields>
  <rowFields count="2">
    <field x="7"/>
    <field x="10"/>
  </rowFields>
  <rowItems count="11">
    <i>
      <x v="27"/>
    </i>
    <i>
      <x v="76"/>
    </i>
    <i>
      <x v="60"/>
    </i>
    <i>
      <x v="25"/>
    </i>
    <i>
      <x v="55"/>
    </i>
    <i>
      <x/>
    </i>
    <i>
      <x v="46"/>
    </i>
    <i>
      <x v="52"/>
    </i>
    <i>
      <x v="58"/>
    </i>
    <i>
      <x v="8"/>
    </i>
    <i t="grand">
      <x/>
    </i>
  </rowItems>
  <colItems count="1">
    <i/>
  </colItems>
  <pageFields count="1">
    <pageField fld="0" hier="-1"/>
  </pageFields>
  <dataFields count="1">
    <dataField name="Sum of Amount (in USD)" fld="3" baseField="5" baseItem="34" numFmtId="172"/>
  </dataFields>
  <formats count="2">
    <format dxfId="46">
      <pivotArea outline="0" collapsedLevelsAreSubtotals="1" fieldPosition="0"/>
    </format>
    <format dxfId="45">
      <pivotArea dataOnly="0" labelOnly="1" outline="0" axis="axisValues" fieldPosition="0"/>
    </format>
  </formats>
  <chartFormats count="7">
    <chartFormat chart="6" format="9"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 chart="9" format="11" series="1">
      <pivotArea type="data" outline="0" fieldPosition="0">
        <references count="1">
          <reference field="4294967294" count="1" selected="0">
            <x v="0"/>
          </reference>
        </references>
      </pivotArea>
    </chartFormat>
    <chartFormat chart="34" format="10" series="1">
      <pivotArea type="data" outline="0" fieldPosition="0">
        <references count="1">
          <reference field="4294967294" count="1" selected="0">
            <x v="0"/>
          </reference>
        </references>
      </pivotArea>
    </chartFormat>
    <chartFormat chart="35" format="11" series="1">
      <pivotArea type="data" outline="0" fieldPosition="0">
        <references count="1">
          <reference field="4294967294" count="1" selected="0">
            <x v="0"/>
          </reference>
        </references>
      </pivotArea>
    </chartFormat>
    <chartFormat chart="45" format="10" series="1">
      <pivotArea type="data" outline="0" fieldPosition="0">
        <references count="1">
          <reference field="4294967294" count="1" selected="0">
            <x v="0"/>
          </reference>
        </references>
      </pivotArea>
    </chartFormat>
    <chartFormat chart="46"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7"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2">
  <location ref="I2:J13" firstHeaderRow="1" firstDataRow="1" firstDataCol="1"/>
  <pivotFields count="22">
    <pivotField showAll="0"/>
    <pivotField showAll="0">
      <items count="35">
        <item x="13"/>
        <item x="14"/>
        <item x="8"/>
        <item x="32"/>
        <item x="22"/>
        <item x="23"/>
        <item x="15"/>
        <item x="17"/>
        <item x="21"/>
        <item x="30"/>
        <item x="20"/>
        <item x="31"/>
        <item x="0"/>
        <item x="1"/>
        <item x="4"/>
        <item x="3"/>
        <item x="2"/>
        <item x="12"/>
        <item x="5"/>
        <item x="6"/>
        <item x="7"/>
        <item x="27"/>
        <item x="28"/>
        <item x="24"/>
        <item x="9"/>
        <item x="10"/>
        <item x="11"/>
        <item x="16"/>
        <item x="18"/>
        <item x="19"/>
        <item x="25"/>
        <item x="26"/>
        <item x="29"/>
        <item m="1" x="33"/>
        <item t="default"/>
      </items>
    </pivotField>
    <pivotField showAll="0" defaultSubtotal="0"/>
    <pivotField dataField="1" showAll="0" measureFilter="1"/>
    <pivotField showAll="0"/>
    <pivotField showAll="0"/>
    <pivotField showAll="0" defaultSubtotal="0"/>
    <pivotField showAll="0"/>
    <pivotField showAll="0" defaultSubtotal="0"/>
    <pivotField showAll="0">
      <items count="42">
        <item x="17"/>
        <item x="16"/>
        <item x="2"/>
        <item x="22"/>
        <item x="1"/>
        <item x="0"/>
        <item x="3"/>
        <item x="18"/>
        <item x="6"/>
        <item x="7"/>
        <item m="1" x="28"/>
        <item m="1" x="29"/>
        <item m="1" x="27"/>
        <item m="1" x="31"/>
        <item m="1" x="36"/>
        <item m="1" x="30"/>
        <item m="1" x="38"/>
        <item m="1" x="37"/>
        <item m="1" x="34"/>
        <item m="1" x="40"/>
        <item m="1" x="32"/>
        <item m="1" x="39"/>
        <item m="1" x="33"/>
        <item m="1" x="35"/>
        <item m="1" x="26"/>
        <item x="14"/>
        <item x="8"/>
        <item x="12"/>
        <item x="24"/>
        <item x="20"/>
        <item x="21"/>
        <item x="15"/>
        <item x="4"/>
        <item x="25"/>
        <item x="19"/>
        <item x="5"/>
        <item x="13"/>
        <item x="10"/>
        <item x="11"/>
        <item x="23"/>
        <item x="9"/>
        <item t="default"/>
      </items>
    </pivotField>
    <pivotField numFmtId="14" showAll="0"/>
    <pivotField showAll="0"/>
    <pivotField showAll="0" defaultSubtotal="0"/>
    <pivotField showAll="0" defaultSubtotal="0"/>
    <pivotField numFmtId="2" showAll="0"/>
    <pivotField numFmtId="1" showAll="0"/>
    <pivotField showAll="0"/>
    <pivotField showAll="0" defaultSubtotal="0"/>
    <pivotField showAll="0" defaultSubtotal="0"/>
    <pivotField showAll="0" defaultSubtotal="0"/>
    <pivotField showAll="0" defaultSubtotal="0">
      <items count="33">
        <item x="27"/>
        <item x="26"/>
        <item x="17"/>
        <item x="0"/>
        <item x="1"/>
        <item x="2"/>
        <item x="3"/>
        <item x="4"/>
        <item x="5"/>
        <item x="6"/>
        <item x="7"/>
        <item x="8"/>
        <item x="9"/>
        <item x="10"/>
        <item x="11"/>
        <item x="12"/>
        <item x="13"/>
        <item x="14"/>
        <item x="15"/>
        <item x="16"/>
        <item x="18"/>
        <item x="19"/>
        <item x="20"/>
        <item x="21"/>
        <item x="22"/>
        <item x="23"/>
        <item x="24"/>
        <item x="25"/>
        <item x="28"/>
        <item x="29"/>
        <item x="30"/>
        <item x="31"/>
        <item x="32"/>
      </items>
    </pivotField>
    <pivotField axis="axisRow" showAll="0" measureFilter="1" sortType="descending" defaultSubtotal="0">
      <items count="31">
        <item n="COFACE" x="5"/>
        <item n="Hermes" x="4"/>
        <item n="EDC" x="9"/>
        <item n="Ex-Im US" x="3"/>
        <item n="JBIC" x="1"/>
        <item n="JICA" x="2"/>
        <item n="KFW" x="10"/>
        <item n="Nexi" x="0"/>
        <item n="RBS" x="8"/>
        <item n="SACE" x="6"/>
        <item n="UKEF" x="7"/>
        <item n="EIB" x="11"/>
        <item n="AfDB" x="12"/>
        <item n="IDB" x="13"/>
        <item n="ADB" x="14"/>
        <item n="World Bank" x="15"/>
        <item n="EBRD" x="16"/>
        <item x="17"/>
        <item x="18"/>
        <item x="19"/>
        <item x="20"/>
        <item x="21"/>
        <item x="22"/>
        <item x="23"/>
        <item x="24"/>
        <item x="25"/>
        <item x="26"/>
        <item x="27"/>
        <item x="28"/>
        <item x="29"/>
        <item x="30"/>
      </items>
      <autoSortScope>
        <pivotArea dataOnly="0" outline="0" fieldPosition="0">
          <references count="1">
            <reference field="4294967294" count="1" selected="0">
              <x v="0"/>
            </reference>
          </references>
        </pivotArea>
      </autoSortScope>
    </pivotField>
  </pivotFields>
  <rowFields count="1">
    <field x="21"/>
  </rowFields>
  <rowItems count="11">
    <i>
      <x v="22"/>
    </i>
    <i>
      <x v="4"/>
    </i>
    <i>
      <x v="21"/>
    </i>
    <i>
      <x v="1"/>
    </i>
    <i>
      <x v="7"/>
    </i>
    <i>
      <x v="15"/>
    </i>
    <i>
      <x v="5"/>
    </i>
    <i>
      <x v="18"/>
    </i>
    <i>
      <x v="19"/>
    </i>
    <i>
      <x v="20"/>
    </i>
    <i t="grand">
      <x/>
    </i>
  </rowItems>
  <colItems count="1">
    <i/>
  </colItems>
  <dataFields count="1">
    <dataField name="Sum of Amount (in USD)" fld="3" baseField="1" baseItem="0" numFmtId="172"/>
  </dataFields>
  <formats count="2">
    <format dxfId="43">
      <pivotArea outline="0" collapsedLevelsAreSubtotals="1" fieldPosition="0"/>
    </format>
    <format dxfId="42">
      <pivotArea dataOnly="0" labelOnly="1" outline="0" axis="axisValues"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3" type="count" evalOrder="-1" id="2" iMeasureFld="0">
      <autoFilter ref="A1">
        <filterColumn colId="0">
          <top10 val="10" filterVal="10"/>
        </filterColumn>
      </autoFilter>
    </filter>
    <filter fld="21"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1">
  <location ref="A3:G9" firstHeaderRow="1" firstDataRow="2" firstDataCol="1" rowPageCount="1" colPageCount="1"/>
  <pivotFields count="22">
    <pivotField axis="axisRow" showAll="0">
      <items count="40">
        <item h="1" m="1" x="32"/>
        <item h="1" m="1" x="33"/>
        <item h="1" x="0"/>
        <item h="1" x="1"/>
        <item h="1" m="1" x="38"/>
        <item h="1" x="2"/>
        <item h="1" x="3"/>
        <item h="1" x="4"/>
        <item x="5"/>
        <item h="1" m="1" x="34"/>
        <item h="1" m="1" x="30"/>
        <item h="1" m="1" x="35"/>
        <item h="1" m="1" x="29"/>
        <item h="1" m="1" x="22"/>
        <item h="1" m="1" x="28"/>
        <item h="1" x="6"/>
        <item x="7"/>
        <item h="1" m="1" x="27"/>
        <item h="1" x="8"/>
        <item h="1" x="9"/>
        <item h="1" m="1" x="23"/>
        <item h="1" x="10"/>
        <item x="11"/>
        <item h="1" m="1" x="25"/>
        <item h="1" x="12"/>
        <item h="1" m="1" x="31"/>
        <item h="1" m="1" x="36"/>
        <item h="1" x="13"/>
        <item h="1" x="14"/>
        <item h="1" m="1" x="20"/>
        <item h="1" m="1" x="37"/>
        <item h="1" x="15"/>
        <item x="16"/>
        <item h="1" m="1" x="26"/>
        <item h="1" m="1" x="24"/>
        <item h="1" x="17"/>
        <item h="1" x="18"/>
        <item h="1" x="19"/>
        <item h="1" m="1" x="21"/>
        <item t="default"/>
      </items>
    </pivotField>
    <pivotField showAll="0">
      <items count="35">
        <item x="3"/>
        <item x="5"/>
        <item x="9"/>
        <item x="10"/>
        <item x="11"/>
        <item x="13"/>
        <item x="25"/>
        <item x="14"/>
        <item x="6"/>
        <item x="12"/>
        <item x="8"/>
        <item x="7"/>
        <item x="18"/>
        <item x="32"/>
        <item x="27"/>
        <item x="26"/>
        <item x="2"/>
        <item x="22"/>
        <item x="23"/>
        <item x="28"/>
        <item x="16"/>
        <item x="15"/>
        <item x="17"/>
        <item x="21"/>
        <item x="30"/>
        <item x="24"/>
        <item x="20"/>
        <item x="31"/>
        <item x="19"/>
        <item x="4"/>
        <item x="1"/>
        <item x="0"/>
        <item x="29"/>
        <item m="1" x="33"/>
        <item t="default"/>
      </items>
    </pivotField>
    <pivotField showAll="0"/>
    <pivotField dataField="1" showAll="0"/>
    <pivotField showAll="0"/>
    <pivotField showAll="0"/>
    <pivotField showAll="0"/>
    <pivotField showAll="0"/>
    <pivotField axis="axisCol" showAll="0" sortType="ascending" defaultSubtotal="0">
      <items count="10">
        <item x="1"/>
        <item x="0"/>
        <item x="4"/>
        <item x="2"/>
        <item x="3"/>
        <item h="1" m="1" x="5"/>
        <item h="1" m="1" x="7"/>
        <item h="1" m="1" x="9"/>
        <item h="1" m="1" x="6"/>
        <item h="1" m="1" x="8"/>
      </items>
      <autoSortScope>
        <pivotArea dataOnly="0" outline="0" fieldPosition="0">
          <references count="1">
            <reference field="4294967294" count="1" selected="0">
              <x v="0"/>
            </reference>
          </references>
        </pivotArea>
      </autoSortScope>
    </pivotField>
    <pivotField showAll="0">
      <items count="42">
        <item m="1" x="26"/>
        <item m="1" x="27"/>
        <item m="1" x="36"/>
        <item m="1" x="33"/>
        <item m="1" x="32"/>
        <item m="1" x="39"/>
        <item m="1" x="28"/>
        <item m="1" x="35"/>
        <item m="1" x="31"/>
        <item m="1" x="38"/>
        <item m="1" x="37"/>
        <item m="1" x="40"/>
        <item m="1" x="34"/>
        <item m="1" x="29"/>
        <item m="1" x="30"/>
        <item x="19"/>
        <item x="4"/>
        <item x="17"/>
        <item x="6"/>
        <item x="16"/>
        <item x="2"/>
        <item x="8"/>
        <item x="5"/>
        <item x="24"/>
        <item x="21"/>
        <item x="7"/>
        <item x="22"/>
        <item x="20"/>
        <item x="18"/>
        <item x="14"/>
        <item x="1"/>
        <item x="12"/>
        <item x="0"/>
        <item x="25"/>
        <item x="3"/>
        <item x="15"/>
        <item x="13"/>
        <item x="10"/>
        <item x="11"/>
        <item x="23"/>
        <item x="9"/>
        <item t="default"/>
      </items>
    </pivotField>
    <pivotField axis="axisPage" multipleItemSelectionAllowed="1"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defaultSubtotal="0"/>
    <pivotField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s>
  <rowFields count="1">
    <field x="0"/>
  </rowFields>
  <rowItems count="5">
    <i>
      <x v="8"/>
    </i>
    <i>
      <x v="16"/>
    </i>
    <i>
      <x v="22"/>
    </i>
    <i>
      <x v="32"/>
    </i>
    <i t="grand">
      <x/>
    </i>
  </rowItems>
  <colFields count="1">
    <field x="8"/>
  </colFields>
  <colItems count="6">
    <i>
      <x v="2"/>
    </i>
    <i>
      <x v="4"/>
    </i>
    <i>
      <x/>
    </i>
    <i>
      <x v="3"/>
    </i>
    <i>
      <x v="1"/>
    </i>
    <i t="grand">
      <x/>
    </i>
  </colItems>
  <pageFields count="1">
    <pageField fld="10" hier="-1"/>
  </pageFields>
  <dataFields count="1">
    <dataField name="Sum of Amount (in USD)" fld="3" baseField="0" baseItem="8"/>
  </dataFields>
  <chartFormats count="5">
    <chartFormat chart="0" format="18" series="1">
      <pivotArea type="data" outline="0" fieldPosition="0">
        <references count="2">
          <reference field="4294967294" count="1" selected="0">
            <x v="0"/>
          </reference>
          <reference field="8" count="1" selected="0">
            <x v="2"/>
          </reference>
        </references>
      </pivotArea>
    </chartFormat>
    <chartFormat chart="0" format="19" series="1">
      <pivotArea type="data" outline="0" fieldPosition="0">
        <references count="2">
          <reference field="4294967294" count="1" selected="0">
            <x v="0"/>
          </reference>
          <reference field="8" count="1" selected="0">
            <x v="4"/>
          </reference>
        </references>
      </pivotArea>
    </chartFormat>
    <chartFormat chart="0" format="20" series="1">
      <pivotArea type="data" outline="0" fieldPosition="0">
        <references count="2">
          <reference field="4294967294" count="1" selected="0">
            <x v="0"/>
          </reference>
          <reference field="8" count="1" selected="0">
            <x v="0"/>
          </reference>
        </references>
      </pivotArea>
    </chartFormat>
    <chartFormat chart="0" format="21" series="1">
      <pivotArea type="data" outline="0" fieldPosition="0">
        <references count="2">
          <reference field="4294967294" count="1" selected="0">
            <x v="0"/>
          </reference>
          <reference field="8" count="1" selected="0">
            <x v="3"/>
          </reference>
        </references>
      </pivotArea>
    </chartFormat>
    <chartFormat chart="0" format="22" series="1">
      <pivotArea type="data" outline="0" fieldPosition="0">
        <references count="2">
          <reference field="4294967294" count="1" selected="0">
            <x v="0"/>
          </reference>
          <reference field="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ompletedProjects" displayName="CompletedProjects" ref="A1:T1258" totalsRowCount="1" headerRowDxfId="109" dataDxfId="107" headerRowBorderDxfId="108">
  <autoFilter ref="A1:T1257"/>
  <tableColumns count="20">
    <tableColumn id="1" name="Country" totalsRowLabel="Total" dataDxfId="106" totalsRowDxfId="38"/>
    <tableColumn id="2" name="Institution" dataDxfId="105" totalsRowDxfId="37" dataCellStyle="Normal 3"/>
    <tableColumn id="17" name="Type" dataDxfId="104" totalsRowDxfId="36" dataCellStyle="Normal 3"/>
    <tableColumn id="3" name="Amount (in USD)" totalsRowFunction="sum" dataDxfId="103" totalsRowDxfId="35" dataCellStyle="Currency"/>
    <tableColumn id="4" name="Project Sponsor" dataDxfId="102" totalsRowDxfId="34" dataCellStyle="Normal"/>
    <tableColumn id="5" name="Project" dataDxfId="101" totalsRowDxfId="33" dataCellStyle="Normal"/>
    <tableColumn id="20" name="Project URL" dataDxfId="100" totalsRowDxfId="32" dataCellStyle="Hyperlink"/>
    <tableColumn id="6" name="Recipient" dataDxfId="99" totalsRowDxfId="31" dataCellStyle="Normal"/>
    <tableColumn id="18" name="Sector Group" dataDxfId="98" totalsRowDxfId="30"/>
    <tableColumn id="7" name="Sector" dataDxfId="97" totalsRowDxfId="29" dataCellStyle="Normal"/>
    <tableColumn id="10" name="Approval Date" dataDxfId="96" totalsRowDxfId="28" dataCellStyle="Normal 3"/>
    <tableColumn id="12" name="Notes" dataDxfId="95" totalsRowDxfId="27" dataCellStyle="Normal"/>
    <tableColumn id="11" name="Additional URLs" dataDxfId="94" totalsRowDxfId="26" dataCellStyle="Hyperlink"/>
    <tableColumn id="8" name="Power Plant Size (MW) or Share" totalsRowFunction="sum" dataDxfId="93" totalsRowDxfId="25" dataCellStyle="Comma"/>
    <tableColumn id="14" name="Annual Emissions (MMTCO2)" totalsRowFunction="sum" dataDxfId="92" totalsRowDxfId="24" dataCellStyle="Comma">
      <calculatedColumnFormula>CompletedProjects[[#This Row],[Power Plant Size (MW) or Share]]*0.593*9057*211.9*10^(-9)</calculatedColumnFormula>
    </tableColumn>
    <tableColumn id="15" name="Lifetime Emissions (MMTCO2)" totalsRowFunction="sum" dataDxfId="91" totalsRowDxfId="23" dataCellStyle="Comma">
      <calculatedColumnFormula>CompletedProjects[[#This Row],[Annual Emissions (MMTCO2)]]*40</calculatedColumnFormula>
    </tableColumn>
    <tableColumn id="9" name="Coal Mine Size (Mtpa)" totalsRowFunction="sum" dataDxfId="90" totalsRowDxfId="22" dataCellStyle="Comma"/>
    <tableColumn id="13" name="Multi-Stakeholder" dataDxfId="89" totalsRowDxfId="21" dataCellStyle="Hyperlink"/>
    <tableColumn id="16" name="Project Status" totalsRowFunction="count" dataDxfId="88" totalsRowDxfId="20" dataCellStyle="Hyperlink"/>
    <tableColumn id="19" name="Low-Income Country" dataDxfId="87" totalsRowDxfId="19" dataCellStyle="Hyperlink"/>
  </tableColumns>
  <tableStyleInfo name="TableStyleMedium13" showFirstColumn="0" showLastColumn="0" showRowStripes="1" showColumnStripes="0"/>
</table>
</file>

<file path=xl/tables/table2.xml><?xml version="1.0" encoding="utf-8"?>
<table xmlns="http://schemas.openxmlformats.org/spreadsheetml/2006/main" id="3" name="Pending" displayName="Pending" ref="A1:S141" totalsRowCount="1" headerRowDxfId="76" dataDxfId="75" totalsRowDxfId="74">
  <autoFilter ref="A1:S140"/>
  <sortState ref="A2:S136">
    <sortCondition ref="K1:K141"/>
  </sortState>
  <tableColumns count="19">
    <tableColumn id="1" name="Country" dataDxfId="73" totalsRowDxfId="18"/>
    <tableColumn id="2" name="Institution" dataDxfId="72" totalsRowDxfId="17" dataCellStyle="Normal 3"/>
    <tableColumn id="3" name="Type" dataDxfId="71" totalsRowDxfId="16" dataCellStyle="Normal 3"/>
    <tableColumn id="4" name="Amount (in USD)" totalsRowFunction="sum" dataDxfId="70" totalsRowDxfId="15" dataCellStyle="Comma"/>
    <tableColumn id="5" name="Project Sponsor" dataDxfId="69" totalsRowDxfId="14"/>
    <tableColumn id="6" name="Project" dataDxfId="68" totalsRowDxfId="13" dataCellStyle="Normal"/>
    <tableColumn id="18" name="Project URL" dataDxfId="67" totalsRowDxfId="12" dataCellStyle="Hyperlink"/>
    <tableColumn id="7" name="Recipient" dataDxfId="66" totalsRowDxfId="11" dataCellStyle="Hyperlink 3"/>
    <tableColumn id="13" name="Sector Group" dataDxfId="65" totalsRowDxfId="10" dataCellStyle="Hyperlink 3"/>
    <tableColumn id="8" name="Sector" dataDxfId="64" totalsRowDxfId="9"/>
    <tableColumn id="16" name="Approval Date" dataDxfId="63" totalsRowDxfId="8" dataCellStyle="Normal 3"/>
    <tableColumn id="20" name="Notes" dataDxfId="62" totalsRowDxfId="7" dataCellStyle="Normal 3"/>
    <tableColumn id="21" name="Additional URLs" dataDxfId="61" totalsRowDxfId="6"/>
    <tableColumn id="9" name="Power Plant Size (MW) or Share" totalsRowFunction="sum" dataDxfId="60" totalsRowDxfId="5" dataCellStyle="Comma"/>
    <tableColumn id="10" name="Annual Emissions (MMTCO2)" totalsRowFunction="sum" dataDxfId="59" totalsRowDxfId="4" dataCellStyle="Comma">
      <calculatedColumnFormula>Pending[[#This Row],[Power Plant Size (MW) or Share]]*0.593*9057*211.9*10^(-9)</calculatedColumnFormula>
    </tableColumn>
    <tableColumn id="11" name="Lifetime Emissions (MMTCO2)" totalsRowFunction="sum" dataDxfId="58" totalsRowDxfId="3" dataCellStyle="Comma">
      <calculatedColumnFormula>Pending[[#This Row],[Annual Emissions (MMTCO2)]]*40</calculatedColumnFormula>
    </tableColumn>
    <tableColumn id="12" name="Coal Mine Size (Mtpa)" dataDxfId="57" totalsRowDxfId="2" dataCellStyle="Comma"/>
    <tableColumn id="22" name="Multi-Stakeholder" dataDxfId="56" totalsRowDxfId="1" dataCellStyle="Hyperlink"/>
    <tableColumn id="17" name="Project Status" dataDxfId="55" totalsRowDxfId="0"/>
  </tableColumns>
  <tableStyleInfo name="TableStyleMedium2" showFirstColumn="0" showLastColumn="0" showRowStripes="1" showColumnStripes="0"/>
</table>
</file>

<file path=xl/tables/table3.xml><?xml version="1.0" encoding="utf-8"?>
<table xmlns="http://schemas.openxmlformats.org/spreadsheetml/2006/main" id="4" name="Table4" displayName="Table4" ref="A1:B10" totalsRowShown="0">
  <sortState ref="A2:B8">
    <sortCondition ref="A1:A8"/>
  </sortState>
  <tableColumns count="2">
    <tableColumn id="1" name="Institutions Contacted*"/>
    <tableColumn id="2" name="Status of Response" dataDxfId="4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hyperlink" Target="http://www.sourcewatch.org/index.php/Estimating_carbon_dioxide_emissions_from_coal_plants" TargetMode="Externa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6" Type="http://schemas.openxmlformats.org/officeDocument/2006/relationships/hyperlink" Target="http://power.in-en.com/html/power-860048.shtml" TargetMode="External"/><Relationship Id="rId117" Type="http://schemas.openxmlformats.org/officeDocument/2006/relationships/hyperlink" Target="http://www.nexi.go.jp/topics/newsrelease/004178.html" TargetMode="External"/><Relationship Id="rId21" Type="http://schemas.openxmlformats.org/officeDocument/2006/relationships/hyperlink" Target="https://www.ksure.or.kr/english/jsp/customer/CstmrEnvEngDetailInq.jsp?argItem=&amp;argValue=&amp;dv1=a&amp;dv2=z&amp;page=2&amp;idx=158861" TargetMode="External"/><Relationship Id="rId42" Type="http://schemas.openxmlformats.org/officeDocument/2006/relationships/hyperlink" Target="http://www-wds.worldbank.org/external/default/WDSContentServer/WDSP/IB/2014/03/22/000414397_20140324123257/Rendered/PDF/PID0Pakistan0P00DPC0March012002014.pdf" TargetMode="External"/><Relationship Id="rId47" Type="http://schemas.openxmlformats.org/officeDocument/2006/relationships/hyperlink" Target="http://www.sourcewatch.org/index.php/Jerada_power_station" TargetMode="External"/><Relationship Id="rId63" Type="http://schemas.openxmlformats.org/officeDocument/2006/relationships/hyperlink" Target="https://ijglobal.com/data/transaction/21504/clp-jhajjar-power-refinancing" TargetMode="External"/><Relationship Id="rId68" Type="http://schemas.openxmlformats.org/officeDocument/2006/relationships/hyperlink" Target="https://ijglobal.com/data/transaction/20648/ayas-coal-fired-power-plant-625mw" TargetMode="External"/><Relationship Id="rId84" Type="http://schemas.openxmlformats.org/officeDocument/2006/relationships/hyperlink" Target="http://www.afdb.org/en/news-and-events/article/afdb-approves-eur-153-million-for-botswana-power-project-5255/" TargetMode="External"/><Relationship Id="rId89" Type="http://schemas.openxmlformats.org/officeDocument/2006/relationships/hyperlink" Target="http://www.ebrd.com/work-with-us/projects/psd/energy-resources-phase-ii.html" TargetMode="External"/><Relationship Id="rId112" Type="http://schemas.openxmlformats.org/officeDocument/2006/relationships/hyperlink" Target="http://web.worldbank.org/external/projects/main?Projectid=P115566&amp;theSitePK=40941&amp;piPK=64290415&amp;pagePK=64283627&amp;menuPK=64282134&amp;Type=Overview" TargetMode="External"/><Relationship Id="rId133" Type="http://schemas.openxmlformats.org/officeDocument/2006/relationships/hyperlink" Target="http://www.jbic.go.jp/en/information/press/press-2014/0331-37582" TargetMode="External"/><Relationship Id="rId138" Type="http://schemas.openxmlformats.org/officeDocument/2006/relationships/hyperlink" Target="http://www.ebrd.com/work-with-us/projects/psd/eps-restructuring.html" TargetMode="External"/><Relationship Id="rId16" Type="http://schemas.openxmlformats.org/officeDocument/2006/relationships/hyperlink" Target="http://news.163.com/09/0504/21/58GIG9FA000120GU.html" TargetMode="External"/><Relationship Id="rId107" Type="http://schemas.openxmlformats.org/officeDocument/2006/relationships/hyperlink" Target="https://ijglobal.com/data/transaction/17705/mundra-umpp" TargetMode="External"/><Relationship Id="rId11" Type="http://schemas.openxmlformats.org/officeDocument/2006/relationships/hyperlink" Target="http://www.thejakartapost.com/news/2009/02/25/pln-secures-part-loans-needed-10000-mw-program.html" TargetMode="External"/><Relationship Id="rId32" Type="http://schemas.openxmlformats.org/officeDocument/2006/relationships/hyperlink" Target="http://www-wds.worldbank.org/external/default/WDSContentServer/WDSP/IB/2014/03/22/000414397_20140324123257/Rendered/PDF/PID0Pakistan0P00DPC0March012002014.pdf" TargetMode="External"/><Relationship Id="rId37" Type="http://schemas.openxmlformats.org/officeDocument/2006/relationships/hyperlink" Target="http://www-wds.worldbank.org/external/default/WDSContentServer/WDSP/IB/2014/03/22/000414397_20140324123257/Rendered/PDF/PID0Pakistan0P00DPC0March012002014.pdf" TargetMode="External"/><Relationship Id="rId53" Type="http://schemas.openxmlformats.org/officeDocument/2006/relationships/hyperlink" Target="http://www.sourcewatch.org/index.php/Maamba_power_station" TargetMode="External"/><Relationship Id="rId58" Type="http://schemas.openxmlformats.org/officeDocument/2006/relationships/hyperlink" Target="http://www.thejakartapost.com/news/2009/02/25/pln-secures-part-loans-needed-10000-mw-program.html" TargetMode="External"/><Relationship Id="rId74" Type="http://schemas.openxmlformats.org/officeDocument/2006/relationships/hyperlink" Target="https://ijglobal.com/data/transaction/17705/mundra-umpp" TargetMode="External"/><Relationship Id="rId79" Type="http://schemas.openxmlformats.org/officeDocument/2006/relationships/hyperlink" Target="https://ijglobal.com/data/transaction/17705/mundra-umpp" TargetMode="External"/><Relationship Id="rId102" Type="http://schemas.openxmlformats.org/officeDocument/2006/relationships/hyperlink" Target="http://www.nexi.go.jp/topics/newsrelease/004598.html" TargetMode="External"/><Relationship Id="rId123" Type="http://schemas.openxmlformats.org/officeDocument/2006/relationships/hyperlink" Target="http://www.eximbank.gov.cn/tm/Newdetails/index.aspx?nodeid=343&amp;page=ContentPage&amp;categoryid=0&amp;contentid=27175" TargetMode="External"/><Relationship Id="rId128" Type="http://schemas.openxmlformats.org/officeDocument/2006/relationships/hyperlink" Target="http://www.eib.org/projects/pipeline/2006/20060248.htm" TargetMode="External"/><Relationship Id="rId144" Type="http://schemas.openxmlformats.org/officeDocument/2006/relationships/hyperlink" Target="http://www.ebrd.com/work-with-us/projects/psd/eps-restructuring.html" TargetMode="External"/><Relationship Id="rId149" Type="http://schemas.openxmlformats.org/officeDocument/2006/relationships/hyperlink" Target="http://www.jbic.go.jp/en/information/press/press-2008/1230-7135" TargetMode="External"/><Relationship Id="rId5" Type="http://schemas.openxmlformats.org/officeDocument/2006/relationships/hyperlink" Target="http://www.tradefinancemagazine.com/Article/3165573/Search/Results/Jorf-LasfarECA-project-financing.html?Keywords=kexim+coal" TargetMode="External"/><Relationship Id="rId90" Type="http://schemas.openxmlformats.org/officeDocument/2006/relationships/hyperlink" Target="http://www.eib.org/projects/pipeline/2006/20060248.htm" TargetMode="External"/><Relationship Id="rId95" Type="http://schemas.openxmlformats.org/officeDocument/2006/relationships/hyperlink" Target="http://www.edc.ca/EN/About-Us/Disclosure/Reporting-on-Transactions/Pages/signed-cat-a-projects-prior-november-1-2010.aspx" TargetMode="External"/><Relationship Id="rId22" Type="http://schemas.openxmlformats.org/officeDocument/2006/relationships/hyperlink" Target="http://www.tradefinancemagazine.com/Article/3256567/Search/Results/Update-VEB-board-approves-Mechel-project.html?Keywords=coal" TargetMode="External"/><Relationship Id="rId27" Type="http://schemas.openxmlformats.org/officeDocument/2006/relationships/hyperlink" Target="http://www.asiaviews.org/business/8-on-business/17782-onbusinessalias3107?tmpl=component&amp;print=1&amp;page=" TargetMode="External"/><Relationship Id="rId43" Type="http://schemas.openxmlformats.org/officeDocument/2006/relationships/hyperlink" Target="http://www-wds.worldbank.org/external/default/WDSContentServer/WDSP/IB/2014/03/22/000414397_20140324123257/Rendered/PDF/PID0Pakistan0P00DPC0March012002014.pdf" TargetMode="External"/><Relationship Id="rId48" Type="http://schemas.openxmlformats.org/officeDocument/2006/relationships/hyperlink" Target="http://www.sourcewatch.org/index.php/Teluk_Sirih_power_station" TargetMode="External"/><Relationship Id="rId64" Type="http://schemas.openxmlformats.org/officeDocument/2006/relationships/hyperlink" Target="https://ijglobal.com/data/transaction/34394/hai-duong-coal-fired-power-plant-1200mw" TargetMode="External"/><Relationship Id="rId69" Type="http://schemas.openxmlformats.org/officeDocument/2006/relationships/hyperlink" Target="http://www.sourcewatch.org/index.php/Hwange_power_station" TargetMode="External"/><Relationship Id="rId113" Type="http://schemas.openxmlformats.org/officeDocument/2006/relationships/hyperlink" Target="https://ijglobal.com/data/transaction/20235/paiton-3-ipp" TargetMode="External"/><Relationship Id="rId118" Type="http://schemas.openxmlformats.org/officeDocument/2006/relationships/hyperlink" Target="https://www.jbic.go.jp/ja/information/press/press-2011/1228-6073" TargetMode="External"/><Relationship Id="rId134" Type="http://schemas.openxmlformats.org/officeDocument/2006/relationships/hyperlink" Target="https://www.koreaexim.go.kr/site/program/board/basicboard/list?boardtypeid=18&amp;menuid=002002004005" TargetMode="External"/><Relationship Id="rId139" Type="http://schemas.openxmlformats.org/officeDocument/2006/relationships/hyperlink" Target="http://www.ebrd.com/work-with-us/projects/psd/eps-restructuring.html" TargetMode="External"/><Relationship Id="rId80" Type="http://schemas.openxmlformats.org/officeDocument/2006/relationships/hyperlink" Target="https://ijglobal.com/data/transaction/17705/mundra-umpp" TargetMode="External"/><Relationship Id="rId85" Type="http://schemas.openxmlformats.org/officeDocument/2006/relationships/hyperlink" Target="http://www.afdb.org/en/projects-and-operations/project-portfolio/project/p-za-faa-001/" TargetMode="External"/><Relationship Id="rId150" Type="http://schemas.openxmlformats.org/officeDocument/2006/relationships/printerSettings" Target="../printerSettings/printerSettings2.bin"/><Relationship Id="rId12" Type="http://schemas.openxmlformats.org/officeDocument/2006/relationships/hyperlink" Target="http://www.asiaviews.org/business/8-on-business/17782-onbusinessalias3107?tmpl=component&amp;print=1&amp;page=" TargetMode="External"/><Relationship Id="rId17" Type="http://schemas.openxmlformats.org/officeDocument/2006/relationships/hyperlink" Target="http://www.sourcewatch.org/index.php/Cilacap_Sumber_power_station" TargetMode="External"/><Relationship Id="rId25" Type="http://schemas.openxmlformats.org/officeDocument/2006/relationships/hyperlink" Target="http://news.xinhuanet.com/english/africa/2013-07/26/c_132577824.htm" TargetMode="External"/><Relationship Id="rId33" Type="http://schemas.openxmlformats.org/officeDocument/2006/relationships/hyperlink" Target="http://www-wds.worldbank.org/external/default/WDSContentServer/WDSP/IB/2014/03/22/000414397_20140324123257/Rendered/PDF/PID0Pakistan0P00DPC0March012002014.pdf" TargetMode="External"/><Relationship Id="rId38" Type="http://schemas.openxmlformats.org/officeDocument/2006/relationships/hyperlink" Target="http://www-wds.worldbank.org/external/default/WDSContentServer/WDSP/IB/2014/03/22/000414397_20140324123257/Rendered/PDF/PID0Pakistan0P00DPC0March012002014.pdf" TargetMode="External"/><Relationship Id="rId46" Type="http://schemas.openxmlformats.org/officeDocument/2006/relationships/hyperlink" Target="https://ijglobal.com/data/transaction/19866/1080mw-raj-westpower-power-plant" TargetMode="External"/><Relationship Id="rId59" Type="http://schemas.openxmlformats.org/officeDocument/2006/relationships/hyperlink" Target="https://ijglobal.com/data/transaction/28781/100mw-vietnam-coal-fired-power-project" TargetMode="External"/><Relationship Id="rId67" Type="http://schemas.openxmlformats.org/officeDocument/2006/relationships/hyperlink" Target="http://www.edf.org/sites/default/files/9584_coal-plants-spreadsheet.xls" TargetMode="External"/><Relationship Id="rId103" Type="http://schemas.openxmlformats.org/officeDocument/2006/relationships/hyperlink" Target="http://www.ijonline.com/data/transaction/26528/ratch-australia-refinancing-2013" TargetMode="External"/><Relationship Id="rId108" Type="http://schemas.openxmlformats.org/officeDocument/2006/relationships/hyperlink" Target="http://ifcext.ifc.org/ifcext/spiwebsite1.nsf/0/65B4BFB361EC38E8852576BA000E29B4" TargetMode="External"/><Relationship Id="rId116" Type="http://schemas.openxmlformats.org/officeDocument/2006/relationships/hyperlink" Target="http://www.zpc.co.zw/projects/2/hwange-power-station-expansion" TargetMode="External"/><Relationship Id="rId124" Type="http://schemas.openxmlformats.org/officeDocument/2006/relationships/hyperlink" Target="http://www.jica.go.jp/english/news/press/2015/151214_01.html" TargetMode="External"/><Relationship Id="rId129" Type="http://schemas.openxmlformats.org/officeDocument/2006/relationships/hyperlink" Target="http://www.eib.org/projects/pipeline/2006/20060248.htm" TargetMode="External"/><Relationship Id="rId137" Type="http://schemas.openxmlformats.org/officeDocument/2006/relationships/hyperlink" Target="http://www.ebrd.com/work-with-us/projects/psd/eps-restructuring.html" TargetMode="External"/><Relationship Id="rId20" Type="http://schemas.openxmlformats.org/officeDocument/2006/relationships/hyperlink" Target="http://www.koreaexim.go.kr/en/bbs/noti/view.jsp?no=9583&amp;bbs_code_id=1316753474007&amp;bbs_code_tp=BBS_2&amp;req_pg=2;" TargetMode="External"/><Relationship Id="rId41" Type="http://schemas.openxmlformats.org/officeDocument/2006/relationships/hyperlink" Target="http://www-wds.worldbank.org/external/default/WDSContentServer/WDSP/IB/2014/03/22/000414397_20140324123257/Rendered/PDF/PID0Pakistan0P00DPC0March012002014.pdf" TargetMode="External"/><Relationship Id="rId54" Type="http://schemas.openxmlformats.org/officeDocument/2006/relationships/hyperlink" Target="http://www.reuters.com/article/oil-kazakhstan-china-idUSL5E8H667N20120606" TargetMode="External"/><Relationship Id="rId62" Type="http://schemas.openxmlformats.org/officeDocument/2006/relationships/hyperlink" Target="https://ijglobal.com/data/transaction/33000/1200mw-vinh-tan-1-coal-fired-thermal-power-plant" TargetMode="External"/><Relationship Id="rId70" Type="http://schemas.openxmlformats.org/officeDocument/2006/relationships/hyperlink" Target="https://ijglobal.com/data/transaction/17705/mundra-umpp" TargetMode="External"/><Relationship Id="rId75" Type="http://schemas.openxmlformats.org/officeDocument/2006/relationships/hyperlink" Target="https://ijglobal.com/data/transaction/17705/mundra-umpp" TargetMode="External"/><Relationship Id="rId83" Type="http://schemas.openxmlformats.org/officeDocument/2006/relationships/hyperlink" Target="http://ifcext.ifc.org/ifcext/spiwebsite1.nsf/ProjectDisplay/SPI_DP25849" TargetMode="External"/><Relationship Id="rId88" Type="http://schemas.openxmlformats.org/officeDocument/2006/relationships/hyperlink" Target="http://www.ebrd.com/news/2011/ebrd-extends-energy-efficiency-investments-in-kazakhstan.html" TargetMode="External"/><Relationship Id="rId91" Type="http://schemas.openxmlformats.org/officeDocument/2006/relationships/hyperlink" Target="http://www.shiftthesubsidies.org/projects/707" TargetMode="External"/><Relationship Id="rId96" Type="http://schemas.openxmlformats.org/officeDocument/2006/relationships/hyperlink" Target="http://www.exim.gov/about/library/reports/annualreports/2008/upload/AuthorizationsListings.pdf" TargetMode="External"/><Relationship Id="rId111" Type="http://schemas.openxmlformats.org/officeDocument/2006/relationships/hyperlink" Target="http://web.worldbank.org/external/projects/main?Projectid=P115566&amp;theSitePK=40941&amp;piPK=64290415&amp;pagePK=64283627&amp;menuPK=64282134&amp;Type=Overview" TargetMode="External"/><Relationship Id="rId132" Type="http://schemas.openxmlformats.org/officeDocument/2006/relationships/hyperlink" Target="http://www.jbic.go.jp/en/information/press/press-2014/0331-37582" TargetMode="External"/><Relationship Id="rId140" Type="http://schemas.openxmlformats.org/officeDocument/2006/relationships/hyperlink" Target="http://www.ebrd.com/work-with-us/projects/psd/eps-restructuring.html" TargetMode="External"/><Relationship Id="rId145" Type="http://schemas.openxmlformats.org/officeDocument/2006/relationships/hyperlink" Target="http://www.ebrd.com/work-with-us/projects/psd/eps-restructuring.html" TargetMode="External"/><Relationship Id="rId1" Type="http://schemas.openxmlformats.org/officeDocument/2006/relationships/hyperlink" Target="http://www.adb.org/news/adb-lending-450m-first-ultra-mega-power-project-india" TargetMode="External"/><Relationship Id="rId6" Type="http://schemas.openxmlformats.org/officeDocument/2006/relationships/hyperlink" Target="http://www.koreaexim.go.kr/en/banking/export/loan_03_03.jsp" TargetMode="External"/><Relationship Id="rId15" Type="http://schemas.openxmlformats.org/officeDocument/2006/relationships/hyperlink" Target="http://news.163.com/09/0504/21/58GIG9FA000120GU.html" TargetMode="External"/><Relationship Id="rId23" Type="http://schemas.openxmlformats.org/officeDocument/2006/relationships/hyperlink" Target="http://vietnamnews.vn/economy/248733/thermal-power-project-warms-up.html" TargetMode="External"/><Relationship Id="rId28" Type="http://schemas.openxmlformats.org/officeDocument/2006/relationships/hyperlink" Target="http://power.in-en.com/html/power-860048.shtml" TargetMode="External"/><Relationship Id="rId36" Type="http://schemas.openxmlformats.org/officeDocument/2006/relationships/hyperlink" Target="http://www-wds.worldbank.org/external/default/WDSContentServer/WDSP/IB/2014/03/22/000414397_20140324123257/Rendered/PDF/PID0Pakistan0P00DPC0March012002014.pdf" TargetMode="External"/><Relationship Id="rId49" Type="http://schemas.openxmlformats.org/officeDocument/2006/relationships/hyperlink" Target="http://www.sourcewatch.org/index.php/Adipala_power_station" TargetMode="External"/><Relationship Id="rId57" Type="http://schemas.openxmlformats.org/officeDocument/2006/relationships/hyperlink" Target="http://www.business-standard.com/article/companies/three-banks-to-support-r-power-s-sasan-project-110121500101_1.html" TargetMode="External"/><Relationship Id="rId106" Type="http://schemas.openxmlformats.org/officeDocument/2006/relationships/hyperlink" Target="https://ijglobal.com/data/transaction/17705/mundra-umpp" TargetMode="External"/><Relationship Id="rId114" Type="http://schemas.openxmlformats.org/officeDocument/2006/relationships/hyperlink" Target="http://www.koreaexim.go.kr/en/banking/export/loan_03_03.jsp" TargetMode="External"/><Relationship Id="rId119" Type="http://schemas.openxmlformats.org/officeDocument/2006/relationships/hyperlink" Target="http://www.jbic.go.jp/en/information/press/press-2013/0127-17508" TargetMode="External"/><Relationship Id="rId127" Type="http://schemas.openxmlformats.org/officeDocument/2006/relationships/hyperlink" Target="http://www.eib.org/projects/pipeline/2006/20060248.htm" TargetMode="External"/><Relationship Id="rId10" Type="http://schemas.openxmlformats.org/officeDocument/2006/relationships/hyperlink" Target="http://www.ijonline.com/data/transaction/25563/cdhi-letter-of-credit" TargetMode="External"/><Relationship Id="rId31" Type="http://schemas.openxmlformats.org/officeDocument/2006/relationships/hyperlink" Target="http://www-wds.worldbank.org/external/default/WDSContentServer/WDSP/IB/2014/03/22/000414397_20140324123257/Rendered/PDF/PID0Pakistan0P00DPC0March012002014.pdf" TargetMode="External"/><Relationship Id="rId44" Type="http://schemas.openxmlformats.org/officeDocument/2006/relationships/hyperlink" Target="http://www-wds.worldbank.org/external/default/WDSContentServer/WDSP/IB/2014/03/22/000414397_20140324123257/Rendered/PDF/PID0Pakistan0P00DPC0March012002014.pdf" TargetMode="External"/><Relationship Id="rId52" Type="http://schemas.openxmlformats.org/officeDocument/2006/relationships/hyperlink" Target="http://www.sourcewatch.org/index.php/Quang_Ninh_power_station" TargetMode="External"/><Relationship Id="rId60" Type="http://schemas.openxmlformats.org/officeDocument/2006/relationships/hyperlink" Target="http://www.tradefinancemagazine.com/Article/3090959/Search/Results/China-Exim-provides-loan-for-Texas-IGCC-plant.html?Keywords=coal+plant+finance&amp;PageMove=2" TargetMode="External"/><Relationship Id="rId65" Type="http://schemas.openxmlformats.org/officeDocument/2006/relationships/hyperlink" Target="https://ijglobal.com/data/transaction/33665/tanjung-enim-coal-fired-mine-mouth-power-plant-1240mw" TargetMode="External"/><Relationship Id="rId73" Type="http://schemas.openxmlformats.org/officeDocument/2006/relationships/hyperlink" Target="https://ijglobal.com/data/transaction/17705/mundra-umpp" TargetMode="External"/><Relationship Id="rId78" Type="http://schemas.openxmlformats.org/officeDocument/2006/relationships/hyperlink" Target="https://ijglobal.com/data/transaction/17705/mundra-umpp" TargetMode="External"/><Relationship Id="rId81" Type="http://schemas.openxmlformats.org/officeDocument/2006/relationships/hyperlink" Target="https://ijglobal.com/data/transaction/17705/mundra-umpp" TargetMode="External"/><Relationship Id="rId86" Type="http://schemas.openxmlformats.org/officeDocument/2006/relationships/hyperlink" Target="http://www.adb.org/sites/default/files/project-document/150799/48029-001-tar.pdf" TargetMode="External"/><Relationship Id="rId94" Type="http://schemas.openxmlformats.org/officeDocument/2006/relationships/hyperlink" Target="http://www.coface.fr/content/download/46639/532929/version/4/file/Contrats+gtis+2%C3%A8me+trimestre+2013.pdf" TargetMode="External"/><Relationship Id="rId99" Type="http://schemas.openxmlformats.org/officeDocument/2006/relationships/hyperlink" Target="http://www.jica.go.jp/english/news/press/2009/091020.html" TargetMode="External"/><Relationship Id="rId101" Type="http://schemas.openxmlformats.org/officeDocument/2006/relationships/hyperlink" Target="https://www.kfw.de/KfW-Group/Newsroom/Aktuelles/Pressemitteilungen/Pressemitteilungen-Details_10531.html" TargetMode="External"/><Relationship Id="rId122" Type="http://schemas.openxmlformats.org/officeDocument/2006/relationships/hyperlink" Target="https://ijglobal.com/data/transaction/32254/maamba-coal-fired-power-plant-phase-i-300mw" TargetMode="External"/><Relationship Id="rId130" Type="http://schemas.openxmlformats.org/officeDocument/2006/relationships/hyperlink" Target="http://dialogochino.net/brazil-adds-new-coal-fired-power/" TargetMode="External"/><Relationship Id="rId135" Type="http://schemas.openxmlformats.org/officeDocument/2006/relationships/hyperlink" Target="http://www.ebrd.com/work-with-us/projects/psd/eps-restructuring.html" TargetMode="External"/><Relationship Id="rId143" Type="http://schemas.openxmlformats.org/officeDocument/2006/relationships/hyperlink" Target="http://www.ebrd.com/work-with-us/projects/psd/eps-restructuring.html" TargetMode="External"/><Relationship Id="rId148" Type="http://schemas.openxmlformats.org/officeDocument/2006/relationships/hyperlink" Target="http://www.jica.go.jp/english/news/press/2015/150706_01.html" TargetMode="External"/><Relationship Id="rId151" Type="http://schemas.openxmlformats.org/officeDocument/2006/relationships/table" Target="../tables/table1.xml"/><Relationship Id="rId4" Type="http://schemas.openxmlformats.org/officeDocument/2006/relationships/hyperlink" Target="http://www.koreaexim.go.kr/en/banking/export/loan_03_03.jsp" TargetMode="External"/><Relationship Id="rId9" Type="http://schemas.openxmlformats.org/officeDocument/2006/relationships/hyperlink" Target="https://www.ksure.or.kr/jsp/common/FileDown.jsp?f_idx=1353916217785.pdf&amp;f_sz=87817" TargetMode="External"/><Relationship Id="rId13" Type="http://schemas.openxmlformats.org/officeDocument/2006/relationships/hyperlink" Target="http://news.xinhuanet.com/english/africa/2013-07/26/c_132577824.htm" TargetMode="External"/><Relationship Id="rId18" Type="http://schemas.openxmlformats.org/officeDocument/2006/relationships/hyperlink" Target="http://www.efic.gov.au/media/1845/efic-annual-report-2013-2014_digital.pdf" TargetMode="External"/><Relationship Id="rId39" Type="http://schemas.openxmlformats.org/officeDocument/2006/relationships/hyperlink" Target="http://www-wds.worldbank.org/external/default/WDSContentServer/WDSP/IB/2014/03/22/000414397_20140324123257/Rendered/PDF/PID0Pakistan0P00DPC0March012002014.pdf" TargetMode="External"/><Relationship Id="rId109" Type="http://schemas.openxmlformats.org/officeDocument/2006/relationships/hyperlink" Target="http://web.worldbank.org/external/projects/main?Projectid=P115566&amp;theSitePK=40941&amp;piPK=64290415&amp;pagePK=64283627&amp;menuPK=64282134&amp;Type=Overview" TargetMode="External"/><Relationship Id="rId34" Type="http://schemas.openxmlformats.org/officeDocument/2006/relationships/hyperlink" Target="http://www-wds.worldbank.org/external/default/WDSContentServer/WDSP/IB/2014/03/22/000414397_20140324123257/Rendered/PDF/PID0Pakistan0P00DPC0March012002014.pdf" TargetMode="External"/><Relationship Id="rId50" Type="http://schemas.openxmlformats.org/officeDocument/2006/relationships/hyperlink" Target="http://www.sourcewatch.org/index.php/Vinh_Tan_power_station" TargetMode="External"/><Relationship Id="rId55" Type="http://schemas.openxmlformats.org/officeDocument/2006/relationships/hyperlink" Target="http://www.sourcewatch.org/index.php/Celukan_Bawang_power_station" TargetMode="External"/><Relationship Id="rId76" Type="http://schemas.openxmlformats.org/officeDocument/2006/relationships/hyperlink" Target="https://ijglobal.com/data/transaction/17705/mundra-umpp" TargetMode="External"/><Relationship Id="rId97" Type="http://schemas.openxmlformats.org/officeDocument/2006/relationships/hyperlink" Target="http://www.koreaexim.go.kr/en/bbs/noti/view.jsp?no=9606&amp;bbs_code_id=1316753474007&amp;bbs_code_tp=BBS_2&amp;req_pg=2" TargetMode="External"/><Relationship Id="rId104" Type="http://schemas.openxmlformats.org/officeDocument/2006/relationships/hyperlink" Target="http://www.sace.it/GruppoSACE/export/sites/default/download/comunicati/2013/20130129-CS_-Coeclerici_SACE_Indonesia_EN.pdf" TargetMode="External"/><Relationship Id="rId120" Type="http://schemas.openxmlformats.org/officeDocument/2006/relationships/hyperlink" Target="https://ijglobal.com/data/transaction/32254/maamba-coal-fired-power-plant-phase-i-300mw" TargetMode="External"/><Relationship Id="rId125" Type="http://schemas.openxmlformats.org/officeDocument/2006/relationships/hyperlink" Target="http://energybangla.com/ecnec-approves-dhaka-chittagong-main-power-grid-project/" TargetMode="External"/><Relationship Id="rId141" Type="http://schemas.openxmlformats.org/officeDocument/2006/relationships/hyperlink" Target="http://www.ebrd.com/work-with-us/projects/psd/eps-restructuring.html" TargetMode="External"/><Relationship Id="rId146" Type="http://schemas.openxmlformats.org/officeDocument/2006/relationships/hyperlink" Target="http://www.ebrd.com/work-with-us/projects/psd/eps-restructuring.html" TargetMode="External"/><Relationship Id="rId7" Type="http://schemas.openxmlformats.org/officeDocument/2006/relationships/hyperlink" Target="https://ijglobal.com/articles/54667/ij-awards-power-deal-of-the-year;" TargetMode="External"/><Relationship Id="rId71" Type="http://schemas.openxmlformats.org/officeDocument/2006/relationships/hyperlink" Target="https://ijglobal.com/data/transaction/17705/mundra-umpp" TargetMode="External"/><Relationship Id="rId92" Type="http://schemas.openxmlformats.org/officeDocument/2006/relationships/hyperlink" Target="http://www.shiftthesubsidies.org/projects/707" TargetMode="External"/><Relationship Id="rId2" Type="http://schemas.openxmlformats.org/officeDocument/2006/relationships/hyperlink" Target="http://www.koreaexim.go.kr/en/banking/export/loan_03_03.jsp" TargetMode="External"/><Relationship Id="rId29" Type="http://schemas.openxmlformats.org/officeDocument/2006/relationships/hyperlink" Target="http://www.asiaviews.org/business/8-on-business/17782-onbusinessalias3107?tmpl=component&amp;print=1&amp;page=" TargetMode="External"/><Relationship Id="rId24" Type="http://schemas.openxmlformats.org/officeDocument/2006/relationships/hyperlink" Target="https://ijglobal.com/data/transaction/19214/pelapuhan-ratu-power-plant" TargetMode="External"/><Relationship Id="rId40" Type="http://schemas.openxmlformats.org/officeDocument/2006/relationships/hyperlink" Target="http://www-wds.worldbank.org/external/default/WDSContentServer/WDSP/IB/2014/03/22/000414397_20140324123257/Rendered/PDF/PID0Pakistan0P00DPC0March012002014.pdf" TargetMode="External"/><Relationship Id="rId45" Type="http://schemas.openxmlformats.org/officeDocument/2006/relationships/hyperlink" Target="http://www.shiftthesubsidies.org/projects/713" TargetMode="External"/><Relationship Id="rId66" Type="http://schemas.openxmlformats.org/officeDocument/2006/relationships/hyperlink" Target="http://www.jica.go.jp/english/news/press/2012/130328_02.html" TargetMode="External"/><Relationship Id="rId87" Type="http://schemas.openxmlformats.org/officeDocument/2006/relationships/hyperlink" Target="http://www.adb.org/projects/47094-001/main" TargetMode="External"/><Relationship Id="rId110" Type="http://schemas.openxmlformats.org/officeDocument/2006/relationships/hyperlink" Target="http://www.worldbank.org/projects/P100101/coal-fired-generation-rehabilitation?lang=en&amp;tab=overview" TargetMode="External"/><Relationship Id="rId115" Type="http://schemas.openxmlformats.org/officeDocument/2006/relationships/hyperlink" Target="https://www.ksure.or.kr/jsp/common/FileDown.jsp?f_idx=1383097284602.pdf&amp;f_sz=542506" TargetMode="External"/><Relationship Id="rId131" Type="http://schemas.openxmlformats.org/officeDocument/2006/relationships/hyperlink" Target="http://jakartaglobe.beritasatu.com/business/sinar-mas-energy-holding-pushes-ahead-coal-fired-power-plants/" TargetMode="External"/><Relationship Id="rId136" Type="http://schemas.openxmlformats.org/officeDocument/2006/relationships/hyperlink" Target="http://www.ebrd.com/work-with-us/projects/psd/eps-restructuring.html" TargetMode="External"/><Relationship Id="rId61" Type="http://schemas.openxmlformats.org/officeDocument/2006/relationships/hyperlink" Target="https://ijglobal.com/data/transaction/33000/1200mw-vinh-tan-1-coal-fired-thermal-power-plant" TargetMode="External"/><Relationship Id="rId82" Type="http://schemas.openxmlformats.org/officeDocument/2006/relationships/hyperlink" Target="https://ijglobal.com/data/transaction/17705/mundra-umpp" TargetMode="External"/><Relationship Id="rId19" Type="http://schemas.openxmlformats.org/officeDocument/2006/relationships/hyperlink" Target="http://www.koreaexim.go.kr/en/bbs/noti/view.jsp?no=9593&amp;bbs_code_id=1316753474007&amp;bbs_code_tp=BBS_2&amp;req_pg=5" TargetMode="External"/><Relationship Id="rId14" Type="http://schemas.openxmlformats.org/officeDocument/2006/relationships/hyperlink" Target="http://www.chinadaily.com.cn/xinhua/2013-10-31/content_10471623.html" TargetMode="External"/><Relationship Id="rId30" Type="http://schemas.openxmlformats.org/officeDocument/2006/relationships/hyperlink" Target="http://ifcext.ifc.org/ifcext/spiwebsite1.nsf/ProjectDisplay/SPI_DP25849" TargetMode="External"/><Relationship Id="rId35" Type="http://schemas.openxmlformats.org/officeDocument/2006/relationships/hyperlink" Target="http://www-wds.worldbank.org/external/default/WDSContentServer/WDSP/IB/2014/03/22/000414397_20140324123257/Rendered/PDF/PID0Pakistan0P00DPC0March012002014.pdf" TargetMode="External"/><Relationship Id="rId56" Type="http://schemas.openxmlformats.org/officeDocument/2006/relationships/hyperlink" Target="http://powermin.gov.lk/english/?page_id=1517" TargetMode="External"/><Relationship Id="rId77" Type="http://schemas.openxmlformats.org/officeDocument/2006/relationships/hyperlink" Target="https://ijglobal.com/data/transaction/17705/mundra-umpp" TargetMode="External"/><Relationship Id="rId100" Type="http://schemas.openxmlformats.org/officeDocument/2006/relationships/hyperlink" Target="http://www.jica.go.jp/english/our_work/evaluation/oda_loan/economic_cooperation/c8h0vm000001rdjt-att/vietnam110124_02.pdf" TargetMode="External"/><Relationship Id="rId105" Type="http://schemas.openxmlformats.org/officeDocument/2006/relationships/hyperlink" Target="https://www.gov.uk/government/uploads/system/uploads/attachment_data/file/222383/uk-export-finance-annual-report-and-accounts-2011-12.pdf" TargetMode="External"/><Relationship Id="rId126" Type="http://schemas.openxmlformats.org/officeDocument/2006/relationships/hyperlink" Target="http://uk.reuters.com/article/2014/12/14/serbia-energy-china-idUKL6N0TY0MD20141214" TargetMode="External"/><Relationship Id="rId147" Type="http://schemas.openxmlformats.org/officeDocument/2006/relationships/hyperlink" Target="http://www.jica.go.jp/english/news/press/2014/150130_01.html" TargetMode="External"/><Relationship Id="rId8" Type="http://schemas.openxmlformats.org/officeDocument/2006/relationships/hyperlink" Target="https://www.ksure.or.kr/jsp/common/FileDown.jsp?f_idx=1333948986791.pdf&amp;f_sz=4762287" TargetMode="External"/><Relationship Id="rId51" Type="http://schemas.openxmlformats.org/officeDocument/2006/relationships/hyperlink" Target="http://www.sourcewatch.org/index.php/Tabas_power_station" TargetMode="External"/><Relationship Id="rId72" Type="http://schemas.openxmlformats.org/officeDocument/2006/relationships/hyperlink" Target="https://ijglobal.com/data/transaction/17705/mundra-umpp" TargetMode="External"/><Relationship Id="rId93" Type="http://schemas.openxmlformats.org/officeDocument/2006/relationships/hyperlink" Target="http://www.worldbank.org/projects/P118916/infrastructure-guarantee-fund?lang=en" TargetMode="External"/><Relationship Id="rId98" Type="http://schemas.openxmlformats.org/officeDocument/2006/relationships/hyperlink" Target="http://www.jbic.go.jp/en/information/press/press-2006/0327-6982" TargetMode="External"/><Relationship Id="rId121" Type="http://schemas.openxmlformats.org/officeDocument/2006/relationships/hyperlink" Target="https://ijglobal.com/data/transaction/32254/maamba-coal-fired-power-plant-phase-i-300mw" TargetMode="External"/><Relationship Id="rId142" Type="http://schemas.openxmlformats.org/officeDocument/2006/relationships/hyperlink" Target="http://www.ebrd.com/work-with-us/projects/psd/eps-restructuring.html" TargetMode="External"/><Relationship Id="rId3" Type="http://schemas.openxmlformats.org/officeDocument/2006/relationships/hyperlink" Target="http://www.koreaexim.go.kr/en/banking/export/loan_03_03.jsp"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cp-africa.com/2016/03/24/mozambique-coal-fired-power-project-seek-lenders/" TargetMode="External"/><Relationship Id="rId18" Type="http://schemas.openxmlformats.org/officeDocument/2006/relationships/hyperlink" Target="https://en.wikipedia.org/wiki/Rampal_Power_Station_(Proposed)" TargetMode="External"/><Relationship Id="rId26" Type="http://schemas.openxmlformats.org/officeDocument/2006/relationships/hyperlink" Target="https://ijglobal.com/data/transaction/33205/k-electric-port-qasim-coal-fired-power-plant-700mw" TargetMode="External"/><Relationship Id="rId39" Type="http://schemas.openxmlformats.org/officeDocument/2006/relationships/hyperlink" Target="http://ifcext.ifc.org/ifcext/spiwebsite1.nsf/651aeb16abd09c1f8525797d006976ba/3286ce33bf634a7485257f5d005895cd?opendocument" TargetMode="External"/><Relationship Id="rId21" Type="http://schemas.openxmlformats.org/officeDocument/2006/relationships/hyperlink" Target="https://ijglobal.com/articles/100606/marubeni-signs-mou-for-cirebon-3-coal-fired" TargetMode="External"/><Relationship Id="rId34" Type="http://schemas.openxmlformats.org/officeDocument/2006/relationships/hyperlink" Target="http://ifcext.ifc.org/ifcext/spiwebsite1.nsf/651aeb16abd09c1f8525797d006976ba/3286ce33bf634a7485257f5d005895cd?opendocument" TargetMode="External"/><Relationship Id="rId42" Type="http://schemas.openxmlformats.org/officeDocument/2006/relationships/hyperlink" Target="http://ifcext.ifc.org/ifcext/spiwebsite1.nsf/651aeb16abd09c1f8525797d006976ba/3286ce33bf634a7485257f5d005895cd?opendocument" TargetMode="External"/><Relationship Id="rId47" Type="http://schemas.openxmlformats.org/officeDocument/2006/relationships/hyperlink" Target="https://ijglobal.com/data/transaction/28563" TargetMode="External"/><Relationship Id="rId50" Type="http://schemas.openxmlformats.org/officeDocument/2006/relationships/hyperlink" Target="https://ijglobal.com/data/project/32674" TargetMode="External"/><Relationship Id="rId55" Type="http://schemas.openxmlformats.org/officeDocument/2006/relationships/hyperlink" Target="https://ijglobal.com/data/transaction/31251/ulaanbaatar-chp5-power-plant" TargetMode="External"/><Relationship Id="rId63" Type="http://schemas.openxmlformats.org/officeDocument/2006/relationships/hyperlink" Target="https://www.adb.org/projects/46915-014/main" TargetMode="External"/><Relationship Id="rId68" Type="http://schemas.openxmlformats.org/officeDocument/2006/relationships/hyperlink" Target="https://www.adb.org/projects/46915-014/main" TargetMode="External"/><Relationship Id="rId76" Type="http://schemas.openxmlformats.org/officeDocument/2006/relationships/hyperlink" Target="https://www.jica.go.jp/english/our_work/social_environmental/id/asia/south/pakistan/c8h0vm000090s2bv.html" TargetMode="External"/><Relationship Id="rId84" Type="http://schemas.openxmlformats.org/officeDocument/2006/relationships/hyperlink" Target="http://www.jbic.go.jp/en/information/press/press-2016/0603-48595" TargetMode="External"/><Relationship Id="rId7" Type="http://schemas.openxmlformats.org/officeDocument/2006/relationships/hyperlink" Target="http://www.cp-africa.com/2016/03/24/mozambique-coal-fired-power-project-seek-lenders/" TargetMode="External"/><Relationship Id="rId71" Type="http://schemas.openxmlformats.org/officeDocument/2006/relationships/hyperlink" Target="http://www.jbic.go.jp/en/efforts/environment/projects/48375" TargetMode="External"/><Relationship Id="rId2" Type="http://schemas.openxmlformats.org/officeDocument/2006/relationships/hyperlink" Target="http://www.dawn.com/news/1158111" TargetMode="External"/><Relationship Id="rId16" Type="http://schemas.openxmlformats.org/officeDocument/2006/relationships/hyperlink" Target="http://www.foe.org/news/news-releases/2016-06-over-150000-call-on-us-export-import-bank-to-reject-coal" TargetMode="External"/><Relationship Id="rId29" Type="http://schemas.openxmlformats.org/officeDocument/2006/relationships/hyperlink" Target="http://ifcext.ifc.org/ifcext/spiwebsite1.nsf/651aeb16abd09c1f8525797d006976ba/3286ce33bf634a7485257f5d005895cd?opendocument" TargetMode="External"/><Relationship Id="rId11" Type="http://schemas.openxmlformats.org/officeDocument/2006/relationships/hyperlink" Target="http://www.cp-africa.com/2016/03/24/mozambique-coal-fired-power-project-seek-lenders/" TargetMode="External"/><Relationship Id="rId24" Type="http://schemas.openxmlformats.org/officeDocument/2006/relationships/hyperlink" Target="https://ijglobal.com/data/transaction/35185/song-hau-1-coal-fired-power-plant-1200mw" TargetMode="External"/><Relationship Id="rId32" Type="http://schemas.openxmlformats.org/officeDocument/2006/relationships/hyperlink" Target="http://ifcext.ifc.org/ifcext/spiwebsite1.nsf/651aeb16abd09c1f8525797d006976ba/3286ce33bf634a7485257f5d005895cd?opendocument" TargetMode="External"/><Relationship Id="rId37" Type="http://schemas.openxmlformats.org/officeDocument/2006/relationships/hyperlink" Target="http://ifcext.ifc.org/ifcext/spiwebsite1.nsf/651aeb16abd09c1f8525797d006976ba/3286ce33bf634a7485257f5d005895cd?opendocument" TargetMode="External"/><Relationship Id="rId40" Type="http://schemas.openxmlformats.org/officeDocument/2006/relationships/hyperlink" Target="http://ifcext.ifc.org/ifcext/spiwebsite1.nsf/651aeb16abd09c1f8525797d006976ba/3286ce33bf634a7485257f5d005895cd?opendocument" TargetMode="External"/><Relationship Id="rId45" Type="http://schemas.openxmlformats.org/officeDocument/2006/relationships/hyperlink" Target="http://ifcext.ifc.org/ifcext/spiwebsite1.nsf/651aeb16abd09c1f8525797d006976ba/3286ce33bf634a7485257f5d005895cd?opendocument" TargetMode="External"/><Relationship Id="rId53" Type="http://schemas.openxmlformats.org/officeDocument/2006/relationships/hyperlink" Target="http://www.naftogaz.com/www/3/nakweben.nsf/0/222826C460B4DF3AC2257F9D00451F71?OpenDocument&amp;year=2016&amp;month=05&amp;nt=News&amp;" TargetMode="External"/><Relationship Id="rId58" Type="http://schemas.openxmlformats.org/officeDocument/2006/relationships/hyperlink" Target="http://www.exim.gov/policies/ex-im-bank-and-the-environment/pending-transactions" TargetMode="External"/><Relationship Id="rId66" Type="http://schemas.openxmlformats.org/officeDocument/2006/relationships/hyperlink" Target="https://ijglobal.com/data/transaction/31251/ulaanbaatar-chp5-power-plant" TargetMode="External"/><Relationship Id="rId74" Type="http://schemas.openxmlformats.org/officeDocument/2006/relationships/hyperlink" Target="http://www.jbic.go.jp/en/efforts/environment/projects/48649" TargetMode="External"/><Relationship Id="rId79" Type="http://schemas.openxmlformats.org/officeDocument/2006/relationships/hyperlink" Target="https://ijglobal.com/data/transaction/32419/thar-coal-mine-and-coal-fired-power-plant-660mw-phase-1" TargetMode="External"/><Relationship Id="rId87" Type="http://schemas.openxmlformats.org/officeDocument/2006/relationships/printerSettings" Target="../printerSettings/printerSettings3.bin"/><Relationship Id="rId5" Type="http://schemas.openxmlformats.org/officeDocument/2006/relationships/hyperlink" Target="http://www.cp-africa.com/2016/03/24/mozambique-coal-fired-power-project-seek-lenders/" TargetMode="External"/><Relationship Id="rId61" Type="http://schemas.openxmlformats.org/officeDocument/2006/relationships/hyperlink" Target="http://www.jbic.go.jp/en/efforts/environment/projects/49263" TargetMode="External"/><Relationship Id="rId82" Type="http://schemas.openxmlformats.org/officeDocument/2006/relationships/hyperlink" Target="http://www.nexi.go.jp/en/topics/newsrelease/2016030802.html" TargetMode="External"/><Relationship Id="rId19" Type="http://schemas.openxmlformats.org/officeDocument/2006/relationships/hyperlink" Target="http://www.sourcewatch.org/index.php/Khulna_power_station_(Orion)" TargetMode="External"/><Relationship Id="rId4" Type="http://schemas.openxmlformats.org/officeDocument/2006/relationships/hyperlink" Target="http://www.cp-africa.com/2016/03/24/mozambique-coal-fired-power-project-seek-lenders/" TargetMode="External"/><Relationship Id="rId9" Type="http://schemas.openxmlformats.org/officeDocument/2006/relationships/hyperlink" Target="http://www.cp-africa.com/2016/03/24/mozambique-coal-fired-power-project-seek-lenders/" TargetMode="External"/><Relationship Id="rId14" Type="http://schemas.openxmlformats.org/officeDocument/2006/relationships/hyperlink" Target="http://www.cp-africa.com/2016/03/24/mozambique-coal-fired-power-project-seek-lenders/" TargetMode="External"/><Relationship Id="rId22" Type="http://schemas.openxmlformats.org/officeDocument/2006/relationships/hyperlink" Target="https://ijglobal.com/data/transaction/31130" TargetMode="External"/><Relationship Id="rId27" Type="http://schemas.openxmlformats.org/officeDocument/2006/relationships/hyperlink" Target="http://ifcext.ifc.org/ifcext/spiwebsite1.nsf/651aeb16abd09c1f8525797d006976ba/3286ce33bf634a7485257f5d005895cd?opendocument" TargetMode="External"/><Relationship Id="rId30" Type="http://schemas.openxmlformats.org/officeDocument/2006/relationships/hyperlink" Target="http://ifcext.ifc.org/ifcext/spiwebsite1.nsf/651aeb16abd09c1f8525797d006976ba/3286ce33bf634a7485257f5d005895cd?opendocument" TargetMode="External"/><Relationship Id="rId35" Type="http://schemas.openxmlformats.org/officeDocument/2006/relationships/hyperlink" Target="http://ifcext.ifc.org/ifcext/spiwebsite1.nsf/651aeb16abd09c1f8525797d006976ba/3286ce33bf634a7485257f5d005895cd?opendocument" TargetMode="External"/><Relationship Id="rId43" Type="http://schemas.openxmlformats.org/officeDocument/2006/relationships/hyperlink" Target="http://ifcext.ifc.org/ifcext/spiwebsite1.nsf/651aeb16abd09c1f8525797d006976ba/3286ce33bf634a7485257f5d005895cd?opendocument" TargetMode="External"/><Relationship Id="rId48" Type="http://schemas.openxmlformats.org/officeDocument/2006/relationships/hyperlink" Target="https://ijglobal.com/data/transaction/31707/vinh-tan-4-coal-fired-thermal-power-plant-1200mw" TargetMode="External"/><Relationship Id="rId56" Type="http://schemas.openxmlformats.org/officeDocument/2006/relationships/hyperlink" Target="https://ijglobal.com/data/transaction/31251/ulaanbaatar-chp5-power-plant" TargetMode="External"/><Relationship Id="rId64" Type="http://schemas.openxmlformats.org/officeDocument/2006/relationships/hyperlink" Target="https://www.adb.org/projects/46915-014/main" TargetMode="External"/><Relationship Id="rId69" Type="http://schemas.openxmlformats.org/officeDocument/2006/relationships/hyperlink" Target="http://www.jbic.go.jp/en/efforts/environment/projects/48375" TargetMode="External"/><Relationship Id="rId77" Type="http://schemas.openxmlformats.org/officeDocument/2006/relationships/hyperlink" Target="http://www.sourcewatch.org/index.php/Lakhra_power_station" TargetMode="External"/><Relationship Id="rId8" Type="http://schemas.openxmlformats.org/officeDocument/2006/relationships/hyperlink" Target="http://www.cp-africa.com/2016/03/24/mozambique-coal-fired-power-project-seek-lenders/" TargetMode="External"/><Relationship Id="rId51" Type="http://schemas.openxmlformats.org/officeDocument/2006/relationships/hyperlink" Target="http://www.ecic.co.za/About-Us/Projects" TargetMode="External"/><Relationship Id="rId72" Type="http://schemas.openxmlformats.org/officeDocument/2006/relationships/hyperlink" Target="https://ijglobal.com/data/transaction/31707/vinh-tan-4-coal-fired-thermal-power-plant-1200mw" TargetMode="External"/><Relationship Id="rId80" Type="http://schemas.openxmlformats.org/officeDocument/2006/relationships/hyperlink" Target="http://www.jogmec.go.jp/english/news/release/news_06_000017.html" TargetMode="External"/><Relationship Id="rId85" Type="http://schemas.openxmlformats.org/officeDocument/2006/relationships/hyperlink" Target="https://ijglobal.com/articles/96263/financial-close-for-koreas-kwangyanghang-yeocheon-coal-terminal" TargetMode="External"/><Relationship Id="rId3" Type="http://schemas.openxmlformats.org/officeDocument/2006/relationships/hyperlink" Target="http://bankwatch.org/news-media/blog/public-bosnia-herzegovina-pay-shaky-economics-tuzla-7-coal-plant-will-officials-take" TargetMode="External"/><Relationship Id="rId12" Type="http://schemas.openxmlformats.org/officeDocument/2006/relationships/hyperlink" Target="http://www.cp-africa.com/2016/03/24/mozambique-coal-fired-power-project-seek-lenders/" TargetMode="External"/><Relationship Id="rId17" Type="http://schemas.openxmlformats.org/officeDocument/2006/relationships/hyperlink" Target="http://www.foe.org/news/news-releases/2016-06-over-150000-call-on-us-export-import-bank-to-reject-coal" TargetMode="External"/><Relationship Id="rId25" Type="http://schemas.openxmlformats.org/officeDocument/2006/relationships/hyperlink" Target="http://allafrica.com/stories/201504131898.html" TargetMode="External"/><Relationship Id="rId33" Type="http://schemas.openxmlformats.org/officeDocument/2006/relationships/hyperlink" Target="http://ifcext.ifc.org/ifcext/spiwebsite1.nsf/651aeb16abd09c1f8525797d006976ba/3286ce33bf634a7485257f5d005895cd?opendocument" TargetMode="External"/><Relationship Id="rId38" Type="http://schemas.openxmlformats.org/officeDocument/2006/relationships/hyperlink" Target="http://ifcext.ifc.org/ifcext/spiwebsite1.nsf/651aeb16abd09c1f8525797d006976ba/3286ce33bf634a7485257f5d005895cd?opendocument" TargetMode="External"/><Relationship Id="rId46" Type="http://schemas.openxmlformats.org/officeDocument/2006/relationships/hyperlink" Target="https://ijglobal.com/data/transaction/17705/mundra-umpp" TargetMode="External"/><Relationship Id="rId59" Type="http://schemas.openxmlformats.org/officeDocument/2006/relationships/hyperlink" Target="https://ijglobal.com/data/transaction/34565" TargetMode="External"/><Relationship Id="rId67" Type="http://schemas.openxmlformats.org/officeDocument/2006/relationships/hyperlink" Target="https://www.adb.org/projects/46915-014/main" TargetMode="External"/><Relationship Id="rId20" Type="http://schemas.openxmlformats.org/officeDocument/2006/relationships/hyperlink" Target="http://blogs.wsj.com/chinarealtime/2015/04/21/china-makes-multibillion-dollar-down-payment-on-silk-road-plans/" TargetMode="External"/><Relationship Id="rId41" Type="http://schemas.openxmlformats.org/officeDocument/2006/relationships/hyperlink" Target="http://ifcext.ifc.org/ifcext/spiwebsite1.nsf/651aeb16abd09c1f8525797d006976ba/3286ce33bf634a7485257f5d005895cd?opendocument" TargetMode="External"/><Relationship Id="rId54" Type="http://schemas.openxmlformats.org/officeDocument/2006/relationships/hyperlink" Target="http://www.forbes.com/sites/kenrapoza/2016/04/22/even-ukraine-is-turning-to-the-chinese-for-money/" TargetMode="External"/><Relationship Id="rId62" Type="http://schemas.openxmlformats.org/officeDocument/2006/relationships/hyperlink" Target="http://www.jbic.go.jp/en/efforts/environment/projects/49263" TargetMode="External"/><Relationship Id="rId70" Type="http://schemas.openxmlformats.org/officeDocument/2006/relationships/hyperlink" Target="http://www.jbic.go.jp/en/efforts/environment/projects/48375" TargetMode="External"/><Relationship Id="rId75" Type="http://schemas.openxmlformats.org/officeDocument/2006/relationships/hyperlink" Target="http://www.nexi.go.jp/en/environment/a/2016061404.html" TargetMode="External"/><Relationship Id="rId83" Type="http://schemas.openxmlformats.org/officeDocument/2006/relationships/hyperlink" Target="http://af.reuters.com/article/energyOilNews/idAFL4N18Y264" TargetMode="External"/><Relationship Id="rId88" Type="http://schemas.openxmlformats.org/officeDocument/2006/relationships/table" Target="../tables/table2.xml"/><Relationship Id="rId1" Type="http://schemas.openxmlformats.org/officeDocument/2006/relationships/hyperlink" Target="http://www.sourcewatch.org/index.php/Sinar_Mas_Jambi_power_station" TargetMode="External"/><Relationship Id="rId6" Type="http://schemas.openxmlformats.org/officeDocument/2006/relationships/hyperlink" Target="http://www.cp-africa.com/2016/03/24/mozambique-coal-fired-power-project-seek-lenders/" TargetMode="External"/><Relationship Id="rId15" Type="http://schemas.openxmlformats.org/officeDocument/2006/relationships/hyperlink" Target="https://ijglobal.com/data/project/33056" TargetMode="External"/><Relationship Id="rId23" Type="http://schemas.openxmlformats.org/officeDocument/2006/relationships/hyperlink" Target="https://ijglobal.com/data/transaction/35185/song-hau-1-coal-fired-power-plant-1200mw" TargetMode="External"/><Relationship Id="rId28" Type="http://schemas.openxmlformats.org/officeDocument/2006/relationships/hyperlink" Target="http://ifcext.ifc.org/ifcext/spiwebsite1.nsf/651aeb16abd09c1f8525797d006976ba/3286ce33bf634a7485257f5d005895cd?opendocument" TargetMode="External"/><Relationship Id="rId36" Type="http://schemas.openxmlformats.org/officeDocument/2006/relationships/hyperlink" Target="http://ifcext.ifc.org/ifcext/spiwebsite1.nsf/651aeb16abd09c1f8525797d006976ba/3286ce33bf634a7485257f5d005895cd?opendocument" TargetMode="External"/><Relationship Id="rId49" Type="http://schemas.openxmlformats.org/officeDocument/2006/relationships/hyperlink" Target="https://ijglobal.com/data/transaction/31707/vinh-tan-4-coal-fired-thermal-power-plant-1200mw" TargetMode="External"/><Relationship Id="rId57" Type="http://schemas.openxmlformats.org/officeDocument/2006/relationships/hyperlink" Target="https://ijglobal.com/articles/97917/bot-contract-signed-for-vung-ang-2" TargetMode="External"/><Relationship Id="rId10" Type="http://schemas.openxmlformats.org/officeDocument/2006/relationships/hyperlink" Target="http://www.cp-africa.com/2016/03/24/mozambique-coal-fired-power-project-seek-lenders/" TargetMode="External"/><Relationship Id="rId31" Type="http://schemas.openxmlformats.org/officeDocument/2006/relationships/hyperlink" Target="http://ifcext.ifc.org/ifcext/spiwebsite1.nsf/651aeb16abd09c1f8525797d006976ba/3286ce33bf634a7485257f5d005895cd?opendocument" TargetMode="External"/><Relationship Id="rId44" Type="http://schemas.openxmlformats.org/officeDocument/2006/relationships/hyperlink" Target="http://ifcext.ifc.org/ifcext/spiwebsite1.nsf/651aeb16abd09c1f8525797d006976ba/3286ce33bf634a7485257f5d005895cd?opendocument" TargetMode="External"/><Relationship Id="rId52" Type="http://schemas.openxmlformats.org/officeDocument/2006/relationships/hyperlink" Target="https://ijglobal.com/data/transaction/32622/kalsel-coal-fired-power-plant-200mw" TargetMode="External"/><Relationship Id="rId60" Type="http://schemas.openxmlformats.org/officeDocument/2006/relationships/hyperlink" Target="http://www.jbic.go.jp/en/efforts/environment/projects/49263" TargetMode="External"/><Relationship Id="rId65" Type="http://schemas.openxmlformats.org/officeDocument/2006/relationships/hyperlink" Target="https://www.adb.org/projects/46915-014/main" TargetMode="External"/><Relationship Id="rId73" Type="http://schemas.openxmlformats.org/officeDocument/2006/relationships/hyperlink" Target="https://ijglobal.com/data/transaction/31707/vinh-tan-4-coal-fired-thermal-power-plant-1200mw" TargetMode="External"/><Relationship Id="rId78" Type="http://schemas.openxmlformats.org/officeDocument/2006/relationships/hyperlink" Target="https://ijglobal.com/data/transaction/36329/thar-coal-block-ii-mine" TargetMode="External"/><Relationship Id="rId81" Type="http://schemas.openxmlformats.org/officeDocument/2006/relationships/hyperlink" Target="http://www.jbic.go.jp/en/information/press/press-2015/0316-47130" TargetMode="External"/><Relationship Id="rId86" Type="http://schemas.openxmlformats.org/officeDocument/2006/relationships/hyperlink" Target="https://ijglobal.com/data/transaction/32275/java-7-coal-fired-power-plant-2000mw-pp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tabSelected="1" workbookViewId="0"/>
  </sheetViews>
  <sheetFormatPr defaultColWidth="0" defaultRowHeight="15" customHeight="1" zeroHeight="1"/>
  <cols>
    <col min="1" max="1" width="96.703125" style="254" customWidth="1"/>
    <col min="2" max="2" width="9.1171875" style="254" hidden="1" customWidth="1"/>
    <col min="3" max="16384" width="9.1171875" style="254" hidden="1"/>
  </cols>
  <sheetData>
    <row r="1" spans="1:1" ht="14.35">
      <c r="A1" s="509" t="s">
        <v>1776</v>
      </c>
    </row>
    <row r="2" spans="1:1" ht="14.35">
      <c r="A2" s="508" t="s">
        <v>1774</v>
      </c>
    </row>
    <row r="3" spans="1:1" ht="14.35">
      <c r="A3" s="283"/>
    </row>
    <row r="4" spans="1:1" ht="14.35">
      <c r="A4" s="507" t="s">
        <v>1775</v>
      </c>
    </row>
    <row r="5" spans="1:1" ht="14.35"/>
    <row r="6" spans="1:1" ht="14.35"/>
    <row r="7" spans="1:1" ht="14.35">
      <c r="A7" s="283"/>
    </row>
    <row r="8" spans="1:1" ht="14.35">
      <c r="A8" s="283"/>
    </row>
    <row r="9" spans="1:1" ht="14.35">
      <c r="A9" s="283"/>
    </row>
    <row r="10" spans="1:1" ht="14.35">
      <c r="A10" s="283"/>
    </row>
    <row r="11" spans="1:1" ht="14.35">
      <c r="A11" s="283"/>
    </row>
    <row r="12" spans="1:1" ht="14.35">
      <c r="A12" s="283"/>
    </row>
    <row r="13" spans="1:1" ht="14.35">
      <c r="A13" s="283"/>
    </row>
    <row r="14" spans="1:1" ht="14.35">
      <c r="A14" s="283"/>
    </row>
    <row r="15" spans="1:1" ht="14.35">
      <c r="A15" s="283"/>
    </row>
    <row r="16" spans="1:1" ht="14.35">
      <c r="A16" s="283"/>
    </row>
    <row r="17" spans="1:1" ht="14.35">
      <c r="A17" s="283"/>
    </row>
    <row r="18" spans="1:1" ht="14.35">
      <c r="A18" s="283"/>
    </row>
    <row r="19" spans="1:1" ht="14.35">
      <c r="A19" s="283"/>
    </row>
    <row r="20" spans="1:1" ht="14.35">
      <c r="A20" s="283"/>
    </row>
    <row r="21" spans="1:1" ht="14.35">
      <c r="A21" s="283"/>
    </row>
    <row r="22" spans="1:1" ht="14.35">
      <c r="A22" s="283"/>
    </row>
    <row r="23" spans="1:1" ht="14.35">
      <c r="A23" s="283"/>
    </row>
    <row r="24" spans="1:1" ht="14.35">
      <c r="A24" s="283"/>
    </row>
    <row r="25" spans="1:1" ht="14.35">
      <c r="A25" s="283"/>
    </row>
    <row r="26" spans="1:1" ht="14.35">
      <c r="A26" s="283"/>
    </row>
    <row r="27" spans="1:1" ht="14.35">
      <c r="A27" s="283"/>
    </row>
    <row r="28" spans="1:1" ht="14.35">
      <c r="A28" s="283"/>
    </row>
    <row r="29" spans="1:1" ht="14.35">
      <c r="A29" s="283"/>
    </row>
    <row r="30" spans="1:1" ht="14.35">
      <c r="A30" s="283"/>
    </row>
    <row r="31" spans="1:1" ht="14.35">
      <c r="A31" s="283"/>
    </row>
    <row r="32" spans="1:1" ht="14.35">
      <c r="A32" s="283"/>
    </row>
    <row r="33" spans="1:1" ht="14.35">
      <c r="A33" s="283"/>
    </row>
    <row r="34" spans="1:1" ht="14.35"/>
    <row r="35" spans="1:1" ht="14.35" hidden="1"/>
    <row r="36" spans="1:1" ht="14.35" hidden="1"/>
    <row r="37" spans="1:1" ht="14.35" hidden="1"/>
    <row r="38" spans="1:1" ht="14.35" hidden="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F1:X239"/>
  <sheetViews>
    <sheetView zoomScaleNormal="100" zoomScalePageLayoutView="55" workbookViewId="0">
      <selection activeCell="G5" sqref="G5"/>
    </sheetView>
  </sheetViews>
  <sheetFormatPr defaultColWidth="8.87890625" defaultRowHeight="14.35"/>
  <cols>
    <col min="1" max="1" width="11.29296875" customWidth="1"/>
    <col min="2" max="2" width="20.41015625" customWidth="1"/>
    <col min="3" max="3" width="22" customWidth="1"/>
    <col min="4" max="4" width="11.41015625" customWidth="1"/>
    <col min="5" max="5" width="12.1171875" customWidth="1"/>
    <col min="6" max="6" width="13.5859375" customWidth="1"/>
    <col min="7" max="7" width="22.87890625" style="8" customWidth="1"/>
    <col min="8" max="8" width="15.41015625" customWidth="1"/>
    <col min="9" max="9" width="22.87890625" customWidth="1"/>
    <col min="12" max="12" width="13.703125" customWidth="1"/>
    <col min="13" max="13" width="22.87890625" customWidth="1"/>
    <col min="15" max="15" width="22.87890625" customWidth="1"/>
    <col min="16" max="16" width="16.29296875" customWidth="1"/>
    <col min="17" max="19" width="13.87890625" customWidth="1"/>
    <col min="20" max="20" width="15.41015625" customWidth="1"/>
    <col min="21" max="22" width="12.1171875" customWidth="1"/>
    <col min="23" max="24" width="14.87890625" customWidth="1"/>
    <col min="26" max="26" width="34.703125" customWidth="1"/>
    <col min="27" max="27" width="22.87890625" customWidth="1"/>
    <col min="29" max="29" width="34.703125" customWidth="1"/>
    <col min="30" max="30" width="22.87890625" customWidth="1"/>
    <col min="32" max="32" width="66.703125" customWidth="1"/>
    <col min="33" max="33" width="22.87890625" customWidth="1"/>
    <col min="35" max="35" width="18" bestFit="1" customWidth="1"/>
    <col min="36" max="36" width="23.1171875" bestFit="1" customWidth="1"/>
  </cols>
  <sheetData>
    <row r="1" spans="6:24">
      <c r="G1"/>
    </row>
    <row r="2" spans="6:24">
      <c r="F2" s="4" t="s">
        <v>4</v>
      </c>
      <c r="G2" s="254" t="s">
        <v>339</v>
      </c>
    </row>
    <row r="4" spans="6:24">
      <c r="F4" s="4" t="s">
        <v>274</v>
      </c>
      <c r="G4" s="8" t="s">
        <v>276</v>
      </c>
      <c r="X4" s="8"/>
    </row>
    <row r="5" spans="6:24">
      <c r="F5" s="5" t="s">
        <v>85</v>
      </c>
      <c r="G5" s="8">
        <v>10710434288.322912</v>
      </c>
      <c r="X5" s="8"/>
    </row>
    <row r="6" spans="6:24">
      <c r="F6" s="5" t="s">
        <v>63</v>
      </c>
      <c r="G6" s="8">
        <v>10258154421.069624</v>
      </c>
      <c r="X6" s="8"/>
    </row>
    <row r="7" spans="6:24">
      <c r="F7" s="5" t="s">
        <v>25</v>
      </c>
      <c r="G7" s="8">
        <v>7396419619.4866323</v>
      </c>
      <c r="X7" s="8"/>
    </row>
    <row r="8" spans="6:24">
      <c r="F8" s="5" t="s">
        <v>65</v>
      </c>
      <c r="G8" s="8">
        <v>7113119209.8955603</v>
      </c>
      <c r="X8" s="8"/>
    </row>
    <row r="9" spans="6:24">
      <c r="F9" s="5" t="s">
        <v>45</v>
      </c>
      <c r="G9" s="8">
        <v>5892797219.3362532</v>
      </c>
      <c r="X9" s="8"/>
    </row>
    <row r="10" spans="6:24">
      <c r="F10" s="5" t="s">
        <v>11</v>
      </c>
      <c r="G10" s="8">
        <v>3548665416.2286997</v>
      </c>
      <c r="X10" s="8"/>
    </row>
    <row r="11" spans="6:24">
      <c r="F11" s="5" t="s">
        <v>132</v>
      </c>
      <c r="G11" s="8">
        <v>2761296934.7558403</v>
      </c>
      <c r="X11" s="8"/>
    </row>
    <row r="12" spans="6:24">
      <c r="F12" s="5" t="s">
        <v>95</v>
      </c>
      <c r="G12" s="8">
        <v>2719411861.6538</v>
      </c>
      <c r="X12" s="8"/>
    </row>
    <row r="13" spans="6:24">
      <c r="F13" s="5" t="s">
        <v>56</v>
      </c>
      <c r="G13" s="8">
        <v>2389746765.0367689</v>
      </c>
      <c r="X13" s="8"/>
    </row>
    <row r="14" spans="6:24">
      <c r="F14" s="5" t="s">
        <v>144</v>
      </c>
      <c r="G14" s="8">
        <v>2140335843.0172634</v>
      </c>
      <c r="X14" s="8"/>
    </row>
    <row r="15" spans="6:24">
      <c r="F15" s="5" t="s">
        <v>275</v>
      </c>
      <c r="G15" s="8">
        <v>54930381578.803352</v>
      </c>
    </row>
    <row r="16" spans="6:24">
      <c r="G16"/>
    </row>
    <row r="17" spans="7:7">
      <c r="G17"/>
    </row>
    <row r="18" spans="7:7">
      <c r="G18"/>
    </row>
    <row r="19" spans="7:7">
      <c r="G19"/>
    </row>
    <row r="20" spans="7:7">
      <c r="G20"/>
    </row>
    <row r="21" spans="7:7">
      <c r="G21"/>
    </row>
    <row r="22" spans="7:7">
      <c r="G22"/>
    </row>
    <row r="23" spans="7:7">
      <c r="G23"/>
    </row>
    <row r="24" spans="7:7">
      <c r="G24"/>
    </row>
    <row r="25" spans="7:7">
      <c r="G25"/>
    </row>
    <row r="26" spans="7:7">
      <c r="G26"/>
    </row>
    <row r="27" spans="7:7">
      <c r="G27"/>
    </row>
    <row r="28" spans="7:7">
      <c r="G28"/>
    </row>
    <row r="29" spans="7:7">
      <c r="G29"/>
    </row>
    <row r="30" spans="7:7">
      <c r="G30"/>
    </row>
    <row r="31" spans="7:7">
      <c r="G31"/>
    </row>
    <row r="32" spans="7:7">
      <c r="G32"/>
    </row>
    <row r="33" spans="7:7">
      <c r="G33"/>
    </row>
    <row r="34" spans="7:7">
      <c r="G34"/>
    </row>
    <row r="35" spans="7:7">
      <c r="G35"/>
    </row>
    <row r="36" spans="7:7">
      <c r="G36"/>
    </row>
    <row r="37" spans="7:7">
      <c r="G37"/>
    </row>
    <row r="38" spans="7:7">
      <c r="G38"/>
    </row>
    <row r="39" spans="7:7">
      <c r="G39"/>
    </row>
    <row r="40" spans="7:7">
      <c r="G40"/>
    </row>
    <row r="41" spans="7:7">
      <c r="G41"/>
    </row>
    <row r="42" spans="7:7">
      <c r="G42"/>
    </row>
    <row r="43" spans="7:7">
      <c r="G43"/>
    </row>
    <row r="44" spans="7:7">
      <c r="G44"/>
    </row>
    <row r="45" spans="7:7">
      <c r="G45"/>
    </row>
    <row r="46" spans="7:7">
      <c r="G46"/>
    </row>
    <row r="47" spans="7:7">
      <c r="G47"/>
    </row>
    <row r="48" spans="7:7">
      <c r="G48"/>
    </row>
    <row r="49" spans="7:7">
      <c r="G49"/>
    </row>
    <row r="50" spans="7:7">
      <c r="G50"/>
    </row>
    <row r="51" spans="7:7">
      <c r="G51"/>
    </row>
    <row r="52" spans="7:7">
      <c r="G52"/>
    </row>
    <row r="53" spans="7:7">
      <c r="G53"/>
    </row>
    <row r="54" spans="7:7">
      <c r="G54"/>
    </row>
    <row r="55" spans="7:7">
      <c r="G55"/>
    </row>
    <row r="56" spans="7:7">
      <c r="G56"/>
    </row>
    <row r="57" spans="7:7">
      <c r="G57"/>
    </row>
    <row r="58" spans="7:7">
      <c r="G58"/>
    </row>
    <row r="59" spans="7:7">
      <c r="G59"/>
    </row>
    <row r="60" spans="7:7">
      <c r="G60"/>
    </row>
    <row r="61" spans="7:7">
      <c r="G61"/>
    </row>
    <row r="62" spans="7:7">
      <c r="G62"/>
    </row>
    <row r="63" spans="7:7">
      <c r="G63"/>
    </row>
    <row r="64" spans="7:7">
      <c r="G64"/>
    </row>
    <row r="65" spans="7:7">
      <c r="G65"/>
    </row>
    <row r="66" spans="7:7">
      <c r="G66"/>
    </row>
    <row r="67" spans="7:7">
      <c r="G67"/>
    </row>
    <row r="68" spans="7:7">
      <c r="G68"/>
    </row>
    <row r="69" spans="7:7">
      <c r="G69"/>
    </row>
    <row r="70" spans="7:7">
      <c r="G70"/>
    </row>
    <row r="71" spans="7:7">
      <c r="G71"/>
    </row>
    <row r="72" spans="7:7">
      <c r="G72"/>
    </row>
    <row r="73" spans="7:7">
      <c r="G73"/>
    </row>
    <row r="74" spans="7:7">
      <c r="G74"/>
    </row>
    <row r="75" spans="7:7">
      <c r="G75"/>
    </row>
    <row r="76" spans="7:7">
      <c r="G76"/>
    </row>
    <row r="77" spans="7:7">
      <c r="G77"/>
    </row>
    <row r="78" spans="7:7">
      <c r="G78"/>
    </row>
    <row r="79" spans="7:7">
      <c r="G79"/>
    </row>
    <row r="80" spans="7:7">
      <c r="G80"/>
    </row>
    <row r="81" spans="7:7">
      <c r="G81"/>
    </row>
    <row r="82" spans="7:7">
      <c r="G82"/>
    </row>
    <row r="83" spans="7:7">
      <c r="G83"/>
    </row>
    <row r="84" spans="7:7">
      <c r="G84"/>
    </row>
    <row r="85" spans="7:7">
      <c r="G85"/>
    </row>
    <row r="86" spans="7:7">
      <c r="G86"/>
    </row>
    <row r="87" spans="7:7">
      <c r="G87"/>
    </row>
    <row r="88" spans="7:7">
      <c r="G88"/>
    </row>
    <row r="89" spans="7:7">
      <c r="G89"/>
    </row>
    <row r="90" spans="7:7">
      <c r="G90"/>
    </row>
    <row r="91" spans="7:7">
      <c r="G91"/>
    </row>
    <row r="92" spans="7:7">
      <c r="G92"/>
    </row>
    <row r="93" spans="7:7">
      <c r="G93"/>
    </row>
    <row r="94" spans="7:7">
      <c r="G94"/>
    </row>
    <row r="95" spans="7:7">
      <c r="G95"/>
    </row>
    <row r="96" spans="7:7">
      <c r="G96"/>
    </row>
    <row r="97" spans="7:7">
      <c r="G97"/>
    </row>
    <row r="98" spans="7:7">
      <c r="G98"/>
    </row>
    <row r="99" spans="7:7">
      <c r="G99"/>
    </row>
    <row r="100" spans="7:7">
      <c r="G100"/>
    </row>
    <row r="101" spans="7:7">
      <c r="G101"/>
    </row>
    <row r="102" spans="7:7">
      <c r="G102"/>
    </row>
    <row r="103" spans="7:7">
      <c r="G103"/>
    </row>
    <row r="104" spans="7:7">
      <c r="G104"/>
    </row>
    <row r="105" spans="7:7">
      <c r="G105"/>
    </row>
    <row r="106" spans="7:7">
      <c r="G106"/>
    </row>
    <row r="107" spans="7:7">
      <c r="G107"/>
    </row>
    <row r="108" spans="7:7">
      <c r="G108"/>
    </row>
    <row r="109" spans="7:7">
      <c r="G109"/>
    </row>
    <row r="110" spans="7:7">
      <c r="G110"/>
    </row>
    <row r="111" spans="7:7">
      <c r="G111"/>
    </row>
    <row r="112" spans="7:7">
      <c r="G112"/>
    </row>
    <row r="113" spans="7:7">
      <c r="G113"/>
    </row>
    <row r="114" spans="7:7">
      <c r="G114"/>
    </row>
    <row r="115" spans="7:7">
      <c r="G115"/>
    </row>
    <row r="116" spans="7:7">
      <c r="G116"/>
    </row>
    <row r="117" spans="7:7">
      <c r="G117"/>
    </row>
    <row r="118" spans="7:7">
      <c r="G118"/>
    </row>
    <row r="119" spans="7:7">
      <c r="G119"/>
    </row>
    <row r="120" spans="7:7">
      <c r="G120"/>
    </row>
    <row r="121" spans="7:7">
      <c r="G121"/>
    </row>
    <row r="122" spans="7:7">
      <c r="G122"/>
    </row>
    <row r="123" spans="7:7">
      <c r="G123"/>
    </row>
    <row r="124" spans="7:7">
      <c r="G124"/>
    </row>
    <row r="125" spans="7:7">
      <c r="G125"/>
    </row>
    <row r="126" spans="7:7">
      <c r="G126"/>
    </row>
    <row r="127" spans="7:7">
      <c r="G127"/>
    </row>
    <row r="128" spans="7:7">
      <c r="G128"/>
    </row>
    <row r="129" spans="7:7">
      <c r="G129"/>
    </row>
    <row r="130" spans="7:7">
      <c r="G130"/>
    </row>
    <row r="131" spans="7:7">
      <c r="G131"/>
    </row>
    <row r="132" spans="7:7">
      <c r="G132"/>
    </row>
    <row r="133" spans="7:7">
      <c r="G133"/>
    </row>
    <row r="134" spans="7:7">
      <c r="G134"/>
    </row>
    <row r="135" spans="7:7">
      <c r="G135"/>
    </row>
    <row r="136" spans="7:7">
      <c r="G136"/>
    </row>
    <row r="137" spans="7:7">
      <c r="G137"/>
    </row>
    <row r="138" spans="7:7">
      <c r="G138"/>
    </row>
    <row r="139" spans="7:7">
      <c r="G139"/>
    </row>
    <row r="140" spans="7:7">
      <c r="G140"/>
    </row>
    <row r="141" spans="7:7">
      <c r="G141"/>
    </row>
    <row r="142" spans="7:7">
      <c r="G142"/>
    </row>
    <row r="143" spans="7:7">
      <c r="G143"/>
    </row>
    <row r="144" spans="7:7">
      <c r="G144"/>
    </row>
    <row r="145" spans="7:7">
      <c r="G145"/>
    </row>
    <row r="146" spans="7:7">
      <c r="G146"/>
    </row>
    <row r="147" spans="7:7">
      <c r="G147"/>
    </row>
    <row r="148" spans="7:7">
      <c r="G148"/>
    </row>
    <row r="149" spans="7:7">
      <c r="G149"/>
    </row>
    <row r="150" spans="7:7">
      <c r="G150"/>
    </row>
    <row r="151" spans="7:7">
      <c r="G151"/>
    </row>
    <row r="152" spans="7:7">
      <c r="G152"/>
    </row>
    <row r="153" spans="7:7">
      <c r="G153"/>
    </row>
    <row r="154" spans="7:7">
      <c r="G154"/>
    </row>
    <row r="155" spans="7:7">
      <c r="G155"/>
    </row>
    <row r="156" spans="7:7">
      <c r="G156"/>
    </row>
    <row r="157" spans="7:7">
      <c r="G157"/>
    </row>
    <row r="158" spans="7:7">
      <c r="G158"/>
    </row>
    <row r="159" spans="7:7">
      <c r="G159"/>
    </row>
    <row r="160" spans="7:7">
      <c r="G160"/>
    </row>
    <row r="161" spans="7:7">
      <c r="G161"/>
    </row>
    <row r="162" spans="7:7">
      <c r="G162"/>
    </row>
    <row r="163" spans="7:7">
      <c r="G163"/>
    </row>
    <row r="164" spans="7:7">
      <c r="G164"/>
    </row>
    <row r="165" spans="7:7">
      <c r="G165"/>
    </row>
    <row r="166" spans="7:7">
      <c r="G166"/>
    </row>
    <row r="167" spans="7:7">
      <c r="G167"/>
    </row>
    <row r="168" spans="7:7">
      <c r="G168"/>
    </row>
    <row r="169" spans="7:7">
      <c r="G169"/>
    </row>
    <row r="170" spans="7:7">
      <c r="G170"/>
    </row>
    <row r="171" spans="7:7">
      <c r="G171"/>
    </row>
    <row r="172" spans="7:7">
      <c r="G172"/>
    </row>
    <row r="173" spans="7:7">
      <c r="G173"/>
    </row>
    <row r="174" spans="7:7">
      <c r="G174"/>
    </row>
    <row r="175" spans="7:7">
      <c r="G175"/>
    </row>
    <row r="176" spans="7:7">
      <c r="G176"/>
    </row>
    <row r="177" spans="7:7">
      <c r="G177"/>
    </row>
    <row r="178" spans="7:7">
      <c r="G178"/>
    </row>
    <row r="179" spans="7:7">
      <c r="G179"/>
    </row>
    <row r="180" spans="7:7">
      <c r="G180"/>
    </row>
    <row r="181" spans="7:7">
      <c r="G181"/>
    </row>
    <row r="182" spans="7:7">
      <c r="G182"/>
    </row>
    <row r="183" spans="7:7">
      <c r="G183"/>
    </row>
    <row r="184" spans="7:7">
      <c r="G184"/>
    </row>
    <row r="185" spans="7:7">
      <c r="G185"/>
    </row>
    <row r="186" spans="7:7">
      <c r="G186"/>
    </row>
    <row r="187" spans="7:7">
      <c r="G187"/>
    </row>
    <row r="188" spans="7:7">
      <c r="G188"/>
    </row>
    <row r="189" spans="7:7">
      <c r="G189"/>
    </row>
    <row r="190" spans="7:7">
      <c r="G190"/>
    </row>
    <row r="191" spans="7:7">
      <c r="G191"/>
    </row>
    <row r="192" spans="7:7">
      <c r="G192"/>
    </row>
    <row r="193" spans="7:7">
      <c r="G193"/>
    </row>
    <row r="194" spans="7:7">
      <c r="G194"/>
    </row>
    <row r="195" spans="7:7">
      <c r="G195"/>
    </row>
    <row r="196" spans="7:7">
      <c r="G196"/>
    </row>
    <row r="197" spans="7:7">
      <c r="G197"/>
    </row>
    <row r="198" spans="7:7">
      <c r="G198"/>
    </row>
    <row r="199" spans="7:7">
      <c r="G199"/>
    </row>
    <row r="200" spans="7:7">
      <c r="G200"/>
    </row>
    <row r="201" spans="7:7">
      <c r="G201"/>
    </row>
    <row r="202" spans="7:7">
      <c r="G202"/>
    </row>
    <row r="203" spans="7:7">
      <c r="G203"/>
    </row>
    <row r="204" spans="7:7">
      <c r="G204"/>
    </row>
    <row r="205" spans="7:7">
      <c r="G205"/>
    </row>
    <row r="206" spans="7:7">
      <c r="G206"/>
    </row>
    <row r="207" spans="7:7">
      <c r="G207"/>
    </row>
    <row r="208" spans="7:7">
      <c r="G208"/>
    </row>
    <row r="209" spans="7:7">
      <c r="G209"/>
    </row>
    <row r="210" spans="7:7">
      <c r="G210"/>
    </row>
    <row r="211" spans="7:7">
      <c r="G211"/>
    </row>
    <row r="212" spans="7:7">
      <c r="G212"/>
    </row>
    <row r="213" spans="7:7">
      <c r="G213"/>
    </row>
    <row r="214" spans="7:7">
      <c r="G214"/>
    </row>
    <row r="215" spans="7:7">
      <c r="G215"/>
    </row>
    <row r="216" spans="7:7">
      <c r="G216"/>
    </row>
    <row r="217" spans="7:7">
      <c r="G217"/>
    </row>
    <row r="218" spans="7:7">
      <c r="G218"/>
    </row>
    <row r="219" spans="7:7">
      <c r="G219"/>
    </row>
    <row r="220" spans="7:7">
      <c r="G220"/>
    </row>
    <row r="221" spans="7:7">
      <c r="G221"/>
    </row>
    <row r="222" spans="7:7">
      <c r="G222"/>
    </row>
    <row r="223" spans="7:7">
      <c r="G223"/>
    </row>
    <row r="224" spans="7:7">
      <c r="G224"/>
    </row>
    <row r="225" spans="7:7">
      <c r="G225"/>
    </row>
    <row r="226" spans="7:7">
      <c r="G226"/>
    </row>
    <row r="227" spans="7:7">
      <c r="G227"/>
    </row>
    <row r="228" spans="7:7">
      <c r="G228"/>
    </row>
    <row r="229" spans="7:7">
      <c r="G229"/>
    </row>
    <row r="230" spans="7:7">
      <c r="G230"/>
    </row>
    <row r="231" spans="7:7">
      <c r="G231"/>
    </row>
    <row r="232" spans="7:7">
      <c r="G232"/>
    </row>
    <row r="233" spans="7:7">
      <c r="G233"/>
    </row>
    <row r="234" spans="7:7">
      <c r="G234"/>
    </row>
    <row r="235" spans="7:7">
      <c r="G235"/>
    </row>
    <row r="236" spans="7:7">
      <c r="G236"/>
    </row>
    <row r="237" spans="7:7">
      <c r="G237"/>
    </row>
    <row r="238" spans="7:7">
      <c r="G238"/>
    </row>
    <row r="239" spans="7:7">
      <c r="G239"/>
    </row>
  </sheetData>
  <pageMargins left="0.7" right="0.7" top="0.75" bottom="0.75" header="0.3" footer="0.3"/>
  <pageSetup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Q83"/>
  <sheetViews>
    <sheetView topLeftCell="A52" zoomScaleNormal="100" zoomScalePageLayoutView="70" workbookViewId="0">
      <selection activeCell="A4" sqref="A4"/>
    </sheetView>
  </sheetViews>
  <sheetFormatPr defaultColWidth="0" defaultRowHeight="14.35" zeroHeight="1"/>
  <cols>
    <col min="1" max="1" width="148.87890625" customWidth="1"/>
    <col min="2" max="17" width="0" hidden="1" customWidth="1"/>
    <col min="18" max="16384" width="9.1171875" hidden="1"/>
  </cols>
  <sheetData>
    <row r="1" spans="1:16">
      <c r="A1" s="327" t="s">
        <v>1595</v>
      </c>
    </row>
    <row r="2" spans="1:16">
      <c r="A2" s="13"/>
    </row>
    <row r="3" spans="1:16">
      <c r="A3" s="14" t="s">
        <v>950</v>
      </c>
    </row>
    <row r="4" spans="1:16" ht="28">
      <c r="A4" s="13" t="s">
        <v>1746</v>
      </c>
    </row>
    <row r="5" spans="1:16" s="9" customFormat="1">
      <c r="A5" s="328"/>
      <c r="B5" s="3"/>
      <c r="C5" s="3"/>
      <c r="I5" s="11"/>
      <c r="J5" s="19"/>
      <c r="K5" s="19"/>
      <c r="L5" s="20"/>
      <c r="M5" s="19"/>
      <c r="P5"/>
    </row>
    <row r="6" spans="1:16">
      <c r="A6" s="14" t="s">
        <v>4</v>
      </c>
    </row>
    <row r="7" spans="1:16">
      <c r="A7" s="13" t="s">
        <v>328</v>
      </c>
    </row>
    <row r="8" spans="1:16" s="9" customFormat="1">
      <c r="A8" s="328"/>
      <c r="B8" s="3"/>
      <c r="C8" s="3"/>
      <c r="I8" s="11"/>
      <c r="J8" s="19"/>
      <c r="K8" s="19"/>
      <c r="L8" s="20"/>
      <c r="M8" s="19"/>
      <c r="P8"/>
    </row>
    <row r="9" spans="1:16" s="9" customFormat="1">
      <c r="A9" s="14" t="s">
        <v>327</v>
      </c>
      <c r="B9" s="3"/>
      <c r="C9" s="3"/>
      <c r="I9" s="11"/>
      <c r="J9" s="19"/>
      <c r="K9" s="19"/>
      <c r="L9" s="20"/>
      <c r="M9" s="19"/>
      <c r="P9"/>
    </row>
    <row r="10" spans="1:16" s="9" customFormat="1" ht="28">
      <c r="A10" s="13" t="s">
        <v>1747</v>
      </c>
      <c r="B10" s="3"/>
      <c r="C10" s="3"/>
      <c r="I10" s="11"/>
      <c r="J10" s="19"/>
      <c r="K10" s="19"/>
      <c r="L10" s="20"/>
      <c r="M10" s="19"/>
      <c r="P10"/>
    </row>
    <row r="11" spans="1:16" s="9" customFormat="1" ht="41.7">
      <c r="A11" s="13" t="s">
        <v>323</v>
      </c>
      <c r="B11" s="3"/>
      <c r="C11" s="3"/>
      <c r="I11" s="11"/>
      <c r="J11" s="19"/>
      <c r="K11" s="19"/>
      <c r="L11" s="20"/>
      <c r="M11" s="19"/>
      <c r="P11"/>
    </row>
    <row r="12" spans="1:16" s="9" customFormat="1">
      <c r="A12" s="328"/>
      <c r="B12" s="3"/>
      <c r="C12" s="3"/>
      <c r="I12" s="11"/>
      <c r="J12" s="19"/>
      <c r="K12" s="19"/>
      <c r="L12" s="20"/>
      <c r="M12" s="19"/>
      <c r="P12"/>
    </row>
    <row r="13" spans="1:16" s="9" customFormat="1">
      <c r="A13" s="329" t="s">
        <v>335</v>
      </c>
      <c r="B13" s="3"/>
      <c r="C13" s="3"/>
      <c r="I13" s="11"/>
      <c r="J13" s="19"/>
      <c r="K13" s="19"/>
      <c r="L13" s="20"/>
      <c r="M13" s="19"/>
      <c r="P13"/>
    </row>
    <row r="14" spans="1:16" s="9" customFormat="1">
      <c r="A14" s="328" t="s">
        <v>949</v>
      </c>
      <c r="B14" s="3"/>
      <c r="C14" s="3"/>
      <c r="I14" s="11"/>
      <c r="J14" s="19"/>
      <c r="K14" s="19"/>
      <c r="L14" s="20"/>
      <c r="M14" s="19"/>
      <c r="P14"/>
    </row>
    <row r="15" spans="1:16" s="9" customFormat="1">
      <c r="A15" s="328"/>
      <c r="B15" s="3"/>
      <c r="C15" s="3"/>
      <c r="I15" s="11"/>
      <c r="J15" s="19"/>
      <c r="K15" s="19"/>
      <c r="L15" s="20"/>
      <c r="M15" s="19"/>
      <c r="P15"/>
    </row>
    <row r="16" spans="1:16" s="9" customFormat="1">
      <c r="A16" s="329" t="s">
        <v>950</v>
      </c>
      <c r="B16" s="3"/>
      <c r="C16" s="3"/>
      <c r="I16" s="11"/>
      <c r="J16" s="19"/>
      <c r="K16" s="19"/>
      <c r="L16" s="20"/>
      <c r="M16" s="19"/>
      <c r="P16"/>
    </row>
    <row r="17" spans="1:16" s="9" customFormat="1">
      <c r="A17" s="328" t="s">
        <v>1748</v>
      </c>
      <c r="B17" s="3"/>
      <c r="C17" s="3"/>
      <c r="I17" s="11"/>
      <c r="J17" s="19"/>
      <c r="K17" s="19"/>
      <c r="L17" s="20"/>
      <c r="M17" s="19"/>
      <c r="P17"/>
    </row>
    <row r="18" spans="1:16" s="9" customFormat="1">
      <c r="A18" s="328"/>
      <c r="B18" s="3"/>
      <c r="C18" s="3"/>
      <c r="I18" s="11"/>
      <c r="J18" s="19"/>
      <c r="K18" s="19"/>
      <c r="L18" s="20"/>
      <c r="M18" s="19"/>
      <c r="P18"/>
    </row>
    <row r="19" spans="1:16" s="9" customFormat="1">
      <c r="A19" s="14" t="s">
        <v>951</v>
      </c>
      <c r="B19" s="3"/>
      <c r="C19" s="3"/>
      <c r="I19" s="11"/>
      <c r="J19" s="19"/>
      <c r="K19" s="19"/>
      <c r="L19" s="20"/>
      <c r="M19" s="19"/>
      <c r="P19"/>
    </row>
    <row r="20" spans="1:16" s="9" customFormat="1">
      <c r="A20" s="13" t="s">
        <v>952</v>
      </c>
      <c r="B20" s="3"/>
      <c r="C20" s="3"/>
      <c r="I20" s="11"/>
      <c r="J20" s="19"/>
      <c r="K20" s="19"/>
      <c r="L20" s="20"/>
      <c r="M20" s="19"/>
      <c r="P20"/>
    </row>
    <row r="21" spans="1:16" s="9" customFormat="1">
      <c r="A21" s="328"/>
      <c r="B21" s="3"/>
      <c r="C21" s="3"/>
      <c r="I21" s="11"/>
      <c r="J21" s="19"/>
      <c r="K21" s="19"/>
      <c r="L21" s="20"/>
      <c r="M21" s="19"/>
      <c r="P21"/>
    </row>
    <row r="22" spans="1:16" s="9" customFormat="1">
      <c r="A22" s="14" t="s">
        <v>21</v>
      </c>
      <c r="B22" s="3"/>
      <c r="C22" s="3"/>
      <c r="I22" s="11"/>
      <c r="J22" s="19"/>
      <c r="K22" s="19"/>
      <c r="L22" s="20"/>
      <c r="M22" s="19"/>
      <c r="P22"/>
    </row>
    <row r="23" spans="1:16" s="9" customFormat="1">
      <c r="A23" s="13" t="s">
        <v>1749</v>
      </c>
      <c r="B23" s="3"/>
      <c r="C23" s="3"/>
      <c r="I23" s="11"/>
      <c r="J23" s="19"/>
      <c r="K23" s="19"/>
      <c r="L23" s="20"/>
      <c r="M23" s="19"/>
      <c r="P23"/>
    </row>
    <row r="24" spans="1:16">
      <c r="A24" s="328"/>
    </row>
    <row r="25" spans="1:16">
      <c r="A25" s="14" t="s">
        <v>321</v>
      </c>
    </row>
    <row r="26" spans="1:16" s="9" customFormat="1">
      <c r="A26" s="13" t="s">
        <v>324</v>
      </c>
      <c r="B26" s="3"/>
      <c r="C26" s="3"/>
      <c r="I26" s="11"/>
      <c r="J26" s="19"/>
      <c r="K26" s="19"/>
      <c r="L26" s="20"/>
      <c r="M26" s="19"/>
      <c r="P26"/>
    </row>
    <row r="27" spans="1:16" ht="55.35">
      <c r="A27" s="330" t="s">
        <v>1759</v>
      </c>
    </row>
    <row r="28" spans="1:16">
      <c r="A28" s="330" t="s">
        <v>1760</v>
      </c>
    </row>
    <row r="29" spans="1:16" ht="28">
      <c r="A29" s="330" t="s">
        <v>1761</v>
      </c>
    </row>
    <row r="30" spans="1:16" ht="28">
      <c r="A30" s="330" t="s">
        <v>1762</v>
      </c>
    </row>
    <row r="31" spans="1:16" ht="28">
      <c r="A31" s="330" t="s">
        <v>1763</v>
      </c>
    </row>
    <row r="32" spans="1:16">
      <c r="A32" s="328"/>
    </row>
    <row r="33" spans="1:16">
      <c r="A33" s="14" t="s">
        <v>282</v>
      </c>
    </row>
    <row r="34" spans="1:16" s="9" customFormat="1">
      <c r="A34" s="13" t="s">
        <v>953</v>
      </c>
      <c r="B34" s="3"/>
      <c r="C34" s="3"/>
      <c r="I34" s="11"/>
      <c r="J34" s="19"/>
      <c r="K34" s="19"/>
      <c r="L34" s="20"/>
      <c r="M34" s="19"/>
      <c r="P34"/>
    </row>
    <row r="35" spans="1:16">
      <c r="A35" s="328"/>
    </row>
    <row r="36" spans="1:16">
      <c r="A36" s="14" t="s">
        <v>330</v>
      </c>
    </row>
    <row r="37" spans="1:16" s="9" customFormat="1" ht="28">
      <c r="A37" s="13" t="s">
        <v>1750</v>
      </c>
      <c r="B37" s="3"/>
      <c r="C37" s="3"/>
      <c r="I37" s="11"/>
      <c r="J37" s="19"/>
      <c r="K37" s="19"/>
      <c r="L37" s="20"/>
      <c r="M37" s="19"/>
      <c r="P37"/>
    </row>
    <row r="38" spans="1:16">
      <c r="A38" s="328"/>
    </row>
    <row r="39" spans="1:16">
      <c r="A39" s="14" t="s">
        <v>329</v>
      </c>
    </row>
    <row r="40" spans="1:16" s="9" customFormat="1">
      <c r="A40" s="13" t="s">
        <v>1751</v>
      </c>
      <c r="B40" s="3"/>
      <c r="C40" s="3"/>
      <c r="I40" s="11"/>
      <c r="J40" s="19"/>
      <c r="K40" s="19"/>
      <c r="L40" s="20"/>
      <c r="M40" s="19"/>
      <c r="P40"/>
    </row>
    <row r="41" spans="1:16">
      <c r="A41" s="328"/>
    </row>
    <row r="42" spans="1:16">
      <c r="A42" s="14" t="s">
        <v>326</v>
      </c>
    </row>
    <row r="43" spans="1:16" ht="82.7">
      <c r="A43" s="13" t="s">
        <v>550</v>
      </c>
    </row>
    <row r="44" spans="1:16">
      <c r="A44" s="331" t="s">
        <v>322</v>
      </c>
    </row>
    <row r="45" spans="1:16" ht="41.7">
      <c r="A45" s="18" t="s">
        <v>1752</v>
      </c>
    </row>
    <row r="46" spans="1:16" s="16" customFormat="1" ht="41.7">
      <c r="A46" s="18" t="s">
        <v>1758</v>
      </c>
    </row>
    <row r="47" spans="1:16">
      <c r="A47" s="328"/>
    </row>
    <row r="48" spans="1:16">
      <c r="A48" s="14" t="s">
        <v>345</v>
      </c>
    </row>
    <row r="49" spans="1:1" ht="28">
      <c r="A49" s="13" t="s">
        <v>1753</v>
      </c>
    </row>
    <row r="50" spans="1:1">
      <c r="A50" s="13"/>
    </row>
    <row r="51" spans="1:1">
      <c r="A51" s="14" t="s">
        <v>331</v>
      </c>
    </row>
    <row r="52" spans="1:1">
      <c r="A52" s="332" t="s">
        <v>325</v>
      </c>
    </row>
    <row r="53" spans="1:1">
      <c r="A53" s="333"/>
    </row>
    <row r="54" spans="1:1">
      <c r="A54" s="14" t="s">
        <v>332</v>
      </c>
    </row>
    <row r="55" spans="1:1" ht="41.7">
      <c r="A55" s="13" t="s">
        <v>1754</v>
      </c>
    </row>
    <row r="56" spans="1:1">
      <c r="A56" s="13"/>
    </row>
    <row r="57" spans="1:1">
      <c r="A57" s="327" t="s">
        <v>1755</v>
      </c>
    </row>
    <row r="58" spans="1:1" s="17" customFormat="1" ht="69">
      <c r="A58" s="332" t="s">
        <v>1756</v>
      </c>
    </row>
    <row r="59" spans="1:1" s="17" customFormat="1">
      <c r="A59" s="332"/>
    </row>
    <row r="60" spans="1:1">
      <c r="A60" s="15" t="s">
        <v>1757</v>
      </c>
    </row>
    <row r="61" spans="1:1" ht="69">
      <c r="A61" s="13" t="s">
        <v>644</v>
      </c>
    </row>
    <row r="62" spans="1:1" s="16" customFormat="1">
      <c r="A62"/>
    </row>
    <row r="63" spans="1:1"/>
    <row r="64" spans="1:1">
      <c r="A64" t="s">
        <v>1766</v>
      </c>
    </row>
    <row r="65"/>
    <row r="66"/>
    <row r="67"/>
    <row r="68"/>
    <row r="69"/>
    <row r="70"/>
    <row r="71"/>
    <row r="72"/>
    <row r="73"/>
    <row r="74"/>
    <row r="75"/>
    <row r="76"/>
    <row r="77"/>
    <row r="78"/>
    <row r="79"/>
    <row r="80"/>
    <row r="81"/>
    <row r="82"/>
    <row r="83"/>
  </sheetData>
  <hyperlinks>
    <hyperlink ref="A44" r:id="rId1"/>
  </hyperlink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C12"/>
  <sheetViews>
    <sheetView workbookViewId="0">
      <selection activeCell="A12" sqref="A12"/>
    </sheetView>
  </sheetViews>
  <sheetFormatPr defaultColWidth="0" defaultRowHeight="14.35"/>
  <cols>
    <col min="1" max="1" width="24.29296875" bestFit="1" customWidth="1"/>
    <col min="2" max="2" width="125.1171875" customWidth="1"/>
    <col min="3" max="3" width="9.1171875" customWidth="1"/>
    <col min="4" max="16384" width="9.1171875" hidden="1"/>
  </cols>
  <sheetData>
    <row r="1" spans="1:2">
      <c r="A1" t="s">
        <v>1764</v>
      </c>
      <c r="B1" t="s">
        <v>651</v>
      </c>
    </row>
    <row r="2" spans="1:2">
      <c r="A2" t="s">
        <v>388</v>
      </c>
      <c r="B2" s="255" t="s">
        <v>1704</v>
      </c>
    </row>
    <row r="3" spans="1:2">
      <c r="A3" t="s">
        <v>344</v>
      </c>
      <c r="B3" s="1" t="s">
        <v>552</v>
      </c>
    </row>
    <row r="4" spans="1:2">
      <c r="A4" t="s">
        <v>1706</v>
      </c>
      <c r="B4" s="255" t="s">
        <v>1704</v>
      </c>
    </row>
    <row r="5" spans="1:2">
      <c r="A5" t="s">
        <v>333</v>
      </c>
      <c r="B5" s="1" t="s">
        <v>1702</v>
      </c>
    </row>
    <row r="6" spans="1:2" ht="28.7">
      <c r="A6" t="s">
        <v>956</v>
      </c>
      <c r="B6" s="1" t="s">
        <v>614</v>
      </c>
    </row>
    <row r="7" spans="1:2">
      <c r="A7" t="s">
        <v>343</v>
      </c>
      <c r="B7" s="1" t="s">
        <v>551</v>
      </c>
    </row>
    <row r="8" spans="1:2">
      <c r="A8" t="s">
        <v>1703</v>
      </c>
      <c r="B8" s="255" t="s">
        <v>1704</v>
      </c>
    </row>
    <row r="9" spans="1:2" ht="249">
      <c r="A9" t="s">
        <v>340</v>
      </c>
      <c r="B9" s="310" t="s">
        <v>1732</v>
      </c>
    </row>
    <row r="10" spans="1:2">
      <c r="A10" t="s">
        <v>390</v>
      </c>
      <c r="B10" s="1" t="s">
        <v>650</v>
      </c>
    </row>
    <row r="12" spans="1:2">
      <c r="A12" t="s">
        <v>1765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B1:K54"/>
  <sheetViews>
    <sheetView zoomScaleNormal="100" zoomScalePageLayoutView="55" workbookViewId="0">
      <selection activeCell="I17" sqref="I17"/>
    </sheetView>
  </sheetViews>
  <sheetFormatPr defaultColWidth="9.1171875" defaultRowHeight="14.35"/>
  <cols>
    <col min="1" max="8" width="9.1171875" customWidth="1"/>
    <col min="9" max="9" width="40.1171875" customWidth="1"/>
    <col min="10" max="10" width="22.87890625" style="8" customWidth="1"/>
    <col min="11" max="11" width="19.41015625" customWidth="1"/>
  </cols>
  <sheetData>
    <row r="1" spans="2:11">
      <c r="B1" t="s">
        <v>1311</v>
      </c>
    </row>
    <row r="2" spans="2:11">
      <c r="I2" s="4" t="s">
        <v>274</v>
      </c>
      <c r="J2" s="8" t="s">
        <v>276</v>
      </c>
    </row>
    <row r="3" spans="2:11">
      <c r="I3" s="5" t="s">
        <v>1087</v>
      </c>
      <c r="J3" s="8">
        <v>12561137440.333334</v>
      </c>
    </row>
    <row r="4" spans="2:11">
      <c r="I4" s="5" t="s">
        <v>338</v>
      </c>
      <c r="J4" s="8">
        <v>11603539377.6387</v>
      </c>
      <c r="K4" s="8"/>
    </row>
    <row r="5" spans="2:11">
      <c r="I5" s="5" t="s">
        <v>1061</v>
      </c>
      <c r="J5" s="8">
        <v>10844104840.187859</v>
      </c>
    </row>
    <row r="6" spans="2:11">
      <c r="I6" s="5" t="s">
        <v>340</v>
      </c>
      <c r="J6" s="8">
        <v>5174453346.7900105</v>
      </c>
    </row>
    <row r="7" spans="2:11">
      <c r="I7" s="5" t="s">
        <v>341</v>
      </c>
      <c r="J7" s="8">
        <v>4379662099.7558403</v>
      </c>
    </row>
    <row r="8" spans="2:11">
      <c r="I8" s="5" t="s">
        <v>547</v>
      </c>
      <c r="J8" s="8">
        <v>4038361400.3093696</v>
      </c>
    </row>
    <row r="9" spans="2:11">
      <c r="I9" s="5" t="s">
        <v>342</v>
      </c>
      <c r="J9" s="8">
        <v>3752747498.6496</v>
      </c>
    </row>
    <row r="10" spans="2:11">
      <c r="I10" s="5" t="s">
        <v>977</v>
      </c>
      <c r="J10" s="8">
        <v>3575000000</v>
      </c>
    </row>
    <row r="11" spans="2:11">
      <c r="I11" s="5" t="s">
        <v>1004</v>
      </c>
      <c r="J11" s="8">
        <v>2770000000</v>
      </c>
    </row>
    <row r="12" spans="2:11">
      <c r="I12" s="5" t="s">
        <v>1056</v>
      </c>
      <c r="J12" s="8">
        <v>2520000000</v>
      </c>
    </row>
    <row r="13" spans="2:11">
      <c r="I13" s="5" t="s">
        <v>275</v>
      </c>
      <c r="J13" s="8">
        <v>61219006003.664719</v>
      </c>
    </row>
    <row r="14" spans="2:11">
      <c r="J14"/>
    </row>
    <row r="15" spans="2:11">
      <c r="J15"/>
    </row>
    <row r="16" spans="2:11">
      <c r="J16"/>
    </row>
    <row r="17" spans="10:10">
      <c r="J17"/>
    </row>
    <row r="18" spans="10:10">
      <c r="J18"/>
    </row>
    <row r="19" spans="10:10">
      <c r="J19"/>
    </row>
    <row r="20" spans="10:10">
      <c r="J20"/>
    </row>
    <row r="21" spans="10:10">
      <c r="J21"/>
    </row>
    <row r="22" spans="10:10">
      <c r="J22"/>
    </row>
    <row r="23" spans="10:10">
      <c r="J23"/>
    </row>
    <row r="24" spans="10:10">
      <c r="J24"/>
    </row>
    <row r="25" spans="10:10">
      <c r="J25"/>
    </row>
    <row r="26" spans="10:10">
      <c r="J26"/>
    </row>
    <row r="27" spans="10:10">
      <c r="J27"/>
    </row>
    <row r="28" spans="10:10">
      <c r="J28"/>
    </row>
    <row r="29" spans="10:10">
      <c r="J29"/>
    </row>
    <row r="30" spans="10:10">
      <c r="J30"/>
    </row>
    <row r="31" spans="10:10">
      <c r="J31"/>
    </row>
    <row r="32" spans="10:10">
      <c r="J32"/>
    </row>
    <row r="33" spans="10:10">
      <c r="J33"/>
    </row>
    <row r="34" spans="10:10">
      <c r="J34"/>
    </row>
    <row r="35" spans="10:10">
      <c r="J35"/>
    </row>
    <row r="36" spans="10:10">
      <c r="J36"/>
    </row>
    <row r="37" spans="10:10">
      <c r="J37"/>
    </row>
    <row r="38" spans="10:10">
      <c r="J38"/>
    </row>
    <row r="39" spans="10:10">
      <c r="J39"/>
    </row>
    <row r="40" spans="10:10">
      <c r="J40"/>
    </row>
    <row r="41" spans="10:10">
      <c r="J41"/>
    </row>
    <row r="42" spans="10:10">
      <c r="J42"/>
    </row>
    <row r="43" spans="10:10">
      <c r="J43"/>
    </row>
    <row r="44" spans="10:10">
      <c r="J44"/>
    </row>
    <row r="45" spans="10:10">
      <c r="J45"/>
    </row>
    <row r="46" spans="10:10">
      <c r="J46"/>
    </row>
    <row r="47" spans="10:10">
      <c r="J47"/>
    </row>
    <row r="48" spans="10:10">
      <c r="J48"/>
    </row>
    <row r="49" spans="10:10">
      <c r="J49"/>
    </row>
    <row r="50" spans="10:10">
      <c r="J50"/>
    </row>
    <row r="51" spans="10:10">
      <c r="J51"/>
    </row>
    <row r="52" spans="10:10">
      <c r="J52"/>
    </row>
    <row r="53" spans="10:10">
      <c r="J53"/>
    </row>
    <row r="54" spans="10:10">
      <c r="J54"/>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9"/>
  <sheetViews>
    <sheetView topLeftCell="A5" workbookViewId="0">
      <selection activeCell="I10" sqref="I10"/>
    </sheetView>
  </sheetViews>
  <sheetFormatPr defaultRowHeight="14.35"/>
  <cols>
    <col min="1" max="1" width="22.87890625" bestFit="1" customWidth="1"/>
    <col min="2" max="2" width="32.87890625" bestFit="1" customWidth="1"/>
    <col min="3" max="3" width="11" customWidth="1"/>
    <col min="4" max="4" width="12" customWidth="1"/>
    <col min="5" max="5" width="18" bestFit="1" customWidth="1"/>
    <col min="6" max="6" width="16.1171875" bestFit="1" customWidth="1"/>
    <col min="7" max="8" width="12" bestFit="1" customWidth="1"/>
  </cols>
  <sheetData>
    <row r="1" spans="1:7">
      <c r="A1" s="4" t="s">
        <v>282</v>
      </c>
      <c r="B1" s="254" t="s">
        <v>339</v>
      </c>
    </row>
    <row r="3" spans="1:7">
      <c r="A3" s="4" t="s">
        <v>276</v>
      </c>
      <c r="B3" s="4" t="s">
        <v>281</v>
      </c>
    </row>
    <row r="4" spans="1:7">
      <c r="A4" s="4" t="s">
        <v>274</v>
      </c>
      <c r="B4" s="254" t="s">
        <v>244</v>
      </c>
      <c r="C4" s="254" t="s">
        <v>1507</v>
      </c>
      <c r="D4" s="254" t="s">
        <v>40</v>
      </c>
      <c r="E4" s="254" t="s">
        <v>284</v>
      </c>
      <c r="F4" s="254" t="s">
        <v>283</v>
      </c>
      <c r="G4" s="254" t="s">
        <v>275</v>
      </c>
    </row>
    <row r="5" spans="1:7">
      <c r="A5" s="5" t="s">
        <v>239</v>
      </c>
      <c r="B5" s="12"/>
      <c r="C5" s="12">
        <v>51000000</v>
      </c>
      <c r="D5" s="12">
        <v>2604352753.8923726</v>
      </c>
      <c r="E5" s="12">
        <v>3599479331.5001807</v>
      </c>
      <c r="F5" s="12">
        <v>18278280020.593166</v>
      </c>
      <c r="G5" s="12">
        <v>24533112105.985718</v>
      </c>
    </row>
    <row r="6" spans="1:7">
      <c r="A6" s="5" t="s">
        <v>75</v>
      </c>
      <c r="B6" s="12">
        <v>363492860.14950973</v>
      </c>
      <c r="C6" s="12">
        <v>46200000</v>
      </c>
      <c r="D6" s="12">
        <v>1210829922.1925862</v>
      </c>
      <c r="E6" s="12">
        <v>2095932525.8626585</v>
      </c>
      <c r="F6" s="12">
        <v>5130046757.6419868</v>
      </c>
      <c r="G6" s="12">
        <v>8846502065.8467407</v>
      </c>
    </row>
    <row r="7" spans="1:7">
      <c r="A7" s="5" t="s">
        <v>160</v>
      </c>
      <c r="B7" s="12"/>
      <c r="C7" s="12">
        <v>2036236266.3499999</v>
      </c>
      <c r="D7" s="12">
        <v>1538401142.9905906</v>
      </c>
      <c r="E7" s="12">
        <v>5352112889.0640287</v>
      </c>
      <c r="F7" s="12">
        <v>12117444440.654396</v>
      </c>
      <c r="G7" s="12">
        <v>21044194739.059013</v>
      </c>
    </row>
    <row r="8" spans="1:7">
      <c r="A8" s="5" t="s">
        <v>1309</v>
      </c>
      <c r="B8" s="12"/>
      <c r="C8" s="12">
        <v>3096000</v>
      </c>
      <c r="D8" s="12">
        <v>4119972.0582372453</v>
      </c>
      <c r="E8" s="12">
        <v>901022435.70461047</v>
      </c>
      <c r="F8" s="12">
        <v>5652418402.6323719</v>
      </c>
      <c r="G8" s="12">
        <v>6560656810.3952198</v>
      </c>
    </row>
    <row r="9" spans="1:7">
      <c r="A9" s="5" t="s">
        <v>275</v>
      </c>
      <c r="B9" s="12">
        <v>363492860.14950973</v>
      </c>
      <c r="C9" s="12">
        <v>2136532266.3499999</v>
      </c>
      <c r="D9" s="12">
        <v>5357703791.1337872</v>
      </c>
      <c r="E9" s="12">
        <v>11948547182.131479</v>
      </c>
      <c r="F9" s="12">
        <v>41178189621.521919</v>
      </c>
      <c r="G9" s="12">
        <v>60984465721.28669</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636"/>
  <sheetViews>
    <sheetView workbookViewId="0">
      <selection activeCell="G18" sqref="G18"/>
    </sheetView>
  </sheetViews>
  <sheetFormatPr defaultRowHeight="14.35"/>
  <cols>
    <col min="1" max="1" width="18.1171875" customWidth="1"/>
    <col min="2" max="2" width="23.29296875" style="251" customWidth="1"/>
  </cols>
  <sheetData>
    <row r="1" spans="1:2">
      <c r="A1" s="4" t="s">
        <v>282</v>
      </c>
      <c r="B1" s="254" t="s">
        <v>339</v>
      </c>
    </row>
    <row r="3" spans="1:2">
      <c r="A3" s="4" t="s">
        <v>274</v>
      </c>
      <c r="B3" s="252" t="s">
        <v>276</v>
      </c>
    </row>
    <row r="4" spans="1:2">
      <c r="A4" s="253" t="s">
        <v>239</v>
      </c>
      <c r="B4" s="252">
        <v>24533112105.985718</v>
      </c>
    </row>
    <row r="5" spans="1:2">
      <c r="A5" s="253" t="s">
        <v>160</v>
      </c>
      <c r="B5" s="252">
        <v>21044194739.059017</v>
      </c>
    </row>
    <row r="6" spans="1:2">
      <c r="A6" s="253" t="s">
        <v>75</v>
      </c>
      <c r="B6" s="252">
        <v>8846502065.8467388</v>
      </c>
    </row>
    <row r="7" spans="1:2">
      <c r="A7" s="253" t="s">
        <v>1309</v>
      </c>
      <c r="B7" s="252">
        <v>6560656810.3952169</v>
      </c>
    </row>
    <row r="8" spans="1:2">
      <c r="A8" s="253" t="s">
        <v>208</v>
      </c>
      <c r="B8" s="252">
        <v>2776817319.7206435</v>
      </c>
    </row>
    <row r="9" spans="1:2">
      <c r="A9" s="253" t="s">
        <v>33</v>
      </c>
      <c r="B9" s="252">
        <v>2757696142.6281834</v>
      </c>
    </row>
    <row r="10" spans="1:2">
      <c r="A10" s="253" t="s">
        <v>45</v>
      </c>
      <c r="B10" s="252">
        <v>2711487957.4672599</v>
      </c>
    </row>
    <row r="11" spans="1:2">
      <c r="A11" s="253" t="s">
        <v>190</v>
      </c>
      <c r="B11" s="252">
        <v>2261113130.359201</v>
      </c>
    </row>
    <row r="12" spans="1:2">
      <c r="A12" s="253" t="s">
        <v>86</v>
      </c>
      <c r="B12" s="252">
        <v>1550899690.1455212</v>
      </c>
    </row>
    <row r="13" spans="1:2">
      <c r="A13" s="253" t="s">
        <v>11</v>
      </c>
      <c r="B13" s="252">
        <v>813940451.69418132</v>
      </c>
    </row>
    <row r="14" spans="1:2">
      <c r="A14" s="253" t="s">
        <v>20</v>
      </c>
      <c r="B14" s="252">
        <v>728025292.58243704</v>
      </c>
    </row>
    <row r="15" spans="1:2">
      <c r="A15" s="253" t="s">
        <v>65</v>
      </c>
      <c r="B15" s="252">
        <v>499033996.28327429</v>
      </c>
    </row>
    <row r="16" spans="1:2">
      <c r="A16" s="253" t="s">
        <v>25</v>
      </c>
      <c r="B16" s="252">
        <v>381816489.57915545</v>
      </c>
    </row>
    <row r="17" spans="1:2">
      <c r="A17" s="253" t="s">
        <v>85</v>
      </c>
      <c r="B17" s="252">
        <v>230716376.98232016</v>
      </c>
    </row>
    <row r="18" spans="1:2">
      <c r="A18" s="253" t="s">
        <v>1308</v>
      </c>
      <c r="B18" s="252">
        <v>148080326.58120218</v>
      </c>
    </row>
    <row r="19" spans="1:2">
      <c r="A19" s="253" t="s">
        <v>36</v>
      </c>
      <c r="B19" s="252">
        <v>132412996.82845719</v>
      </c>
    </row>
    <row r="20" spans="1:2">
      <c r="A20" s="253" t="s">
        <v>1149</v>
      </c>
      <c r="B20" s="252">
        <v>104456795.78876325</v>
      </c>
    </row>
    <row r="21" spans="1:2">
      <c r="A21" s="253" t="s">
        <v>1253</v>
      </c>
      <c r="B21" s="252">
        <v>95183494.25215508</v>
      </c>
    </row>
    <row r="22" spans="1:2">
      <c r="A22" s="253" t="s">
        <v>78</v>
      </c>
      <c r="B22" s="252">
        <v>60526747.919473656</v>
      </c>
    </row>
    <row r="23" spans="1:2">
      <c r="A23" s="253" t="s">
        <v>473</v>
      </c>
      <c r="B23" s="252">
        <v>36976198.724620603</v>
      </c>
    </row>
    <row r="24" spans="1:2">
      <c r="A24" s="5" t="s">
        <v>275</v>
      </c>
      <c r="B24" s="252">
        <v>76273649128.823547</v>
      </c>
    </row>
    <row r="25" spans="1:2">
      <c r="B25"/>
    </row>
    <row r="26" spans="1:2">
      <c r="B26"/>
    </row>
    <row r="27" spans="1:2">
      <c r="B27"/>
    </row>
    <row r="28" spans="1:2">
      <c r="B28"/>
    </row>
    <row r="29" spans="1:2">
      <c r="B29"/>
    </row>
    <row r="30" spans="1:2">
      <c r="B30"/>
    </row>
    <row r="31" spans="1:2">
      <c r="B31"/>
    </row>
    <row r="32" spans="1: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row r="63" spans="2:2">
      <c r="B63"/>
    </row>
    <row r="64" spans="2:2">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row r="538" spans="2:2">
      <c r="B538"/>
    </row>
    <row r="539" spans="2:2">
      <c r="B539"/>
    </row>
    <row r="540" spans="2:2">
      <c r="B540"/>
    </row>
    <row r="541" spans="2:2">
      <c r="B541"/>
    </row>
    <row r="542" spans="2:2">
      <c r="B542"/>
    </row>
    <row r="543" spans="2:2">
      <c r="B543"/>
    </row>
    <row r="544" spans="2:2">
      <c r="B544"/>
    </row>
    <row r="545" spans="2:2">
      <c r="B545"/>
    </row>
    <row r="546" spans="2:2">
      <c r="B546"/>
    </row>
    <row r="547" spans="2:2">
      <c r="B547"/>
    </row>
    <row r="548" spans="2:2">
      <c r="B548"/>
    </row>
    <row r="549" spans="2:2">
      <c r="B549"/>
    </row>
    <row r="550" spans="2:2">
      <c r="B550"/>
    </row>
    <row r="551" spans="2:2">
      <c r="B551"/>
    </row>
    <row r="552" spans="2:2">
      <c r="B552"/>
    </row>
    <row r="553" spans="2:2">
      <c r="B553"/>
    </row>
    <row r="554" spans="2:2">
      <c r="B554"/>
    </row>
    <row r="555" spans="2:2">
      <c r="B555"/>
    </row>
    <row r="556" spans="2:2">
      <c r="B556"/>
    </row>
    <row r="557" spans="2:2">
      <c r="B557"/>
    </row>
    <row r="558" spans="2:2">
      <c r="B558"/>
    </row>
    <row r="559" spans="2:2">
      <c r="B559"/>
    </row>
    <row r="560" spans="2:2">
      <c r="B560"/>
    </row>
    <row r="561" spans="2:2">
      <c r="B561"/>
    </row>
    <row r="562" spans="2:2">
      <c r="B562"/>
    </row>
    <row r="563" spans="2:2">
      <c r="B563"/>
    </row>
    <row r="564" spans="2:2">
      <c r="B564"/>
    </row>
    <row r="565" spans="2:2">
      <c r="B565"/>
    </row>
    <row r="566" spans="2:2">
      <c r="B566"/>
    </row>
    <row r="567" spans="2:2">
      <c r="B567"/>
    </row>
    <row r="568" spans="2:2">
      <c r="B568"/>
    </row>
    <row r="569" spans="2:2">
      <c r="B569"/>
    </row>
    <row r="570" spans="2:2">
      <c r="B570"/>
    </row>
    <row r="571" spans="2:2">
      <c r="B571"/>
    </row>
    <row r="572" spans="2:2">
      <c r="B572"/>
    </row>
    <row r="573" spans="2:2">
      <c r="B573"/>
    </row>
    <row r="574" spans="2:2">
      <c r="B574"/>
    </row>
    <row r="575" spans="2:2">
      <c r="B575"/>
    </row>
    <row r="576" spans="2:2">
      <c r="B576"/>
    </row>
    <row r="577" spans="2:2">
      <c r="B577"/>
    </row>
    <row r="578" spans="2:2">
      <c r="B578"/>
    </row>
    <row r="579" spans="2:2">
      <c r="B579"/>
    </row>
    <row r="580" spans="2:2">
      <c r="B580"/>
    </row>
    <row r="581" spans="2:2">
      <c r="B581"/>
    </row>
    <row r="582" spans="2:2">
      <c r="B582"/>
    </row>
    <row r="583" spans="2:2">
      <c r="B583"/>
    </row>
    <row r="584" spans="2:2">
      <c r="B584"/>
    </row>
    <row r="585" spans="2:2">
      <c r="B585"/>
    </row>
    <row r="586" spans="2:2">
      <c r="B586"/>
    </row>
    <row r="587" spans="2:2">
      <c r="B587"/>
    </row>
    <row r="588" spans="2:2">
      <c r="B588"/>
    </row>
    <row r="589" spans="2:2">
      <c r="B589"/>
    </row>
    <row r="590" spans="2:2">
      <c r="B590"/>
    </row>
    <row r="591" spans="2:2">
      <c r="B591"/>
    </row>
    <row r="592" spans="2:2">
      <c r="B592"/>
    </row>
    <row r="593" spans="2:2">
      <c r="B593"/>
    </row>
    <row r="594" spans="2:2">
      <c r="B594"/>
    </row>
    <row r="595" spans="2:2">
      <c r="B595"/>
    </row>
    <row r="596" spans="2:2">
      <c r="B596"/>
    </row>
    <row r="597" spans="2:2">
      <c r="B597"/>
    </row>
    <row r="598" spans="2:2">
      <c r="B598"/>
    </row>
    <row r="599" spans="2:2">
      <c r="B599"/>
    </row>
    <row r="600" spans="2:2">
      <c r="B600"/>
    </row>
    <row r="601" spans="2:2">
      <c r="B601"/>
    </row>
    <row r="602" spans="2:2">
      <c r="B602"/>
    </row>
    <row r="603" spans="2:2">
      <c r="B603"/>
    </row>
    <row r="604" spans="2:2">
      <c r="B604"/>
    </row>
    <row r="605" spans="2:2">
      <c r="B605"/>
    </row>
    <row r="606" spans="2:2">
      <c r="B606"/>
    </row>
    <row r="607" spans="2:2">
      <c r="B607"/>
    </row>
    <row r="608" spans="2:2">
      <c r="B608"/>
    </row>
    <row r="609" spans="2:2">
      <c r="B609"/>
    </row>
    <row r="610" spans="2:2">
      <c r="B610"/>
    </row>
    <row r="611" spans="2:2">
      <c r="B611"/>
    </row>
    <row r="612" spans="2:2">
      <c r="B612"/>
    </row>
    <row r="613" spans="2:2">
      <c r="B613"/>
    </row>
    <row r="614" spans="2:2">
      <c r="B614"/>
    </row>
    <row r="615" spans="2:2">
      <c r="B615"/>
    </row>
    <row r="616" spans="2:2">
      <c r="B616"/>
    </row>
    <row r="617" spans="2:2">
      <c r="B617"/>
    </row>
    <row r="618" spans="2:2">
      <c r="B618"/>
    </row>
    <row r="619" spans="2:2">
      <c r="B619"/>
    </row>
    <row r="620" spans="2:2">
      <c r="B620"/>
    </row>
    <row r="621" spans="2:2">
      <c r="B621"/>
    </row>
    <row r="622" spans="2:2">
      <c r="B622"/>
    </row>
    <row r="623" spans="2:2">
      <c r="B623"/>
    </row>
    <row r="624" spans="2:2">
      <c r="B624"/>
    </row>
    <row r="625" spans="2:2">
      <c r="B625"/>
    </row>
    <row r="626" spans="2:2">
      <c r="B626"/>
    </row>
    <row r="627" spans="2:2">
      <c r="B627"/>
    </row>
    <row r="628" spans="2:2">
      <c r="B628"/>
    </row>
    <row r="629" spans="2:2">
      <c r="B629"/>
    </row>
    <row r="630" spans="2:2">
      <c r="B630"/>
    </row>
    <row r="631" spans="2:2">
      <c r="B631"/>
    </row>
    <row r="632" spans="2:2">
      <c r="B632"/>
    </row>
    <row r="633" spans="2:2">
      <c r="B633"/>
    </row>
    <row r="634" spans="2:2">
      <c r="B634"/>
    </row>
    <row r="635" spans="2:2">
      <c r="B635"/>
    </row>
    <row r="636" spans="2:2">
      <c r="B63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BIU196"/>
  <sheetViews>
    <sheetView topLeftCell="A73" workbookViewId="0">
      <pane xSplit="1" topLeftCell="H1" activePane="topRight" state="frozen"/>
      <selection pane="topRight" activeCell="Q183" sqref="Q183"/>
    </sheetView>
  </sheetViews>
  <sheetFormatPr defaultColWidth="8.87890625" defaultRowHeight="14.35"/>
  <cols>
    <col min="1" max="1" width="11.1171875" customWidth="1"/>
    <col min="3" max="3" width="16.1171875" style="30" customWidth="1"/>
    <col min="4" max="4" width="10.1171875" customWidth="1"/>
    <col min="5" max="5" width="15" style="30" customWidth="1"/>
    <col min="7" max="7" width="12.87890625" style="30" customWidth="1"/>
    <col min="8" max="8" width="16.1171875" customWidth="1"/>
    <col min="9" max="9" width="12.703125" style="30" customWidth="1"/>
    <col min="11" max="11" width="8.87890625" style="30"/>
    <col min="13" max="13" width="13.29296875" style="30" customWidth="1"/>
    <col min="14" max="14" width="13.703125" customWidth="1"/>
    <col min="15" max="15" width="11.703125" style="30" customWidth="1"/>
    <col min="16" max="16" width="22.41015625" customWidth="1"/>
    <col min="17" max="17" width="8.87890625" style="97"/>
    <col min="20" max="1607" width="8.87890625" style="30"/>
  </cols>
  <sheetData>
    <row r="1" spans="1:19" ht="16" thickBot="1">
      <c r="A1" s="510" t="s">
        <v>384</v>
      </c>
      <c r="B1" s="510"/>
      <c r="C1" s="510"/>
      <c r="D1" s="510"/>
      <c r="E1" s="510"/>
      <c r="F1" s="510"/>
      <c r="G1" s="510"/>
      <c r="H1" s="510"/>
      <c r="I1" s="510"/>
      <c r="J1" s="510"/>
      <c r="K1" s="510"/>
      <c r="L1" s="510"/>
      <c r="M1" s="510"/>
      <c r="N1" s="510"/>
      <c r="O1" s="510"/>
      <c r="P1" s="510"/>
      <c r="Q1" s="510"/>
      <c r="R1" s="26"/>
      <c r="S1" s="26"/>
    </row>
    <row r="2" spans="1:19" ht="15.7">
      <c r="A2" s="31"/>
      <c r="B2" s="511" t="s">
        <v>385</v>
      </c>
      <c r="C2" s="512"/>
      <c r="D2" s="511" t="s">
        <v>386</v>
      </c>
      <c r="E2" s="512"/>
      <c r="F2" s="511" t="s">
        <v>387</v>
      </c>
      <c r="G2" s="512"/>
      <c r="H2" s="511" t="s">
        <v>388</v>
      </c>
      <c r="I2" s="512"/>
      <c r="J2" s="513" t="s">
        <v>389</v>
      </c>
      <c r="K2" s="514"/>
      <c r="L2" s="515" t="s">
        <v>390</v>
      </c>
      <c r="M2" s="514"/>
      <c r="N2" s="513" t="s">
        <v>391</v>
      </c>
      <c r="O2" s="514"/>
      <c r="P2" s="513" t="s">
        <v>392</v>
      </c>
      <c r="Q2" s="514"/>
      <c r="R2" s="513" t="s">
        <v>1143</v>
      </c>
      <c r="S2" s="514"/>
    </row>
    <row r="3" spans="1:19" ht="38.35" thickBot="1">
      <c r="A3" s="32" t="s">
        <v>4</v>
      </c>
      <c r="B3" s="33" t="s">
        <v>393</v>
      </c>
      <c r="C3" s="95" t="s">
        <v>394</v>
      </c>
      <c r="D3" s="98" t="s">
        <v>395</v>
      </c>
      <c r="E3" s="95" t="s">
        <v>394</v>
      </c>
      <c r="F3" s="98" t="s">
        <v>396</v>
      </c>
      <c r="G3" s="95" t="s">
        <v>394</v>
      </c>
      <c r="H3" s="94" t="s">
        <v>393</v>
      </c>
      <c r="I3" s="95" t="s">
        <v>394</v>
      </c>
      <c r="J3" s="94" t="s">
        <v>393</v>
      </c>
      <c r="K3" s="99" t="s">
        <v>394</v>
      </c>
      <c r="L3" s="100" t="s">
        <v>395</v>
      </c>
      <c r="M3" s="95" t="s">
        <v>394</v>
      </c>
      <c r="N3" s="94" t="s">
        <v>393</v>
      </c>
      <c r="O3" s="95" t="s">
        <v>394</v>
      </c>
      <c r="P3" s="94" t="s">
        <v>393</v>
      </c>
      <c r="Q3" s="95" t="s">
        <v>394</v>
      </c>
      <c r="R3" s="94" t="s">
        <v>393</v>
      </c>
      <c r="S3" s="95" t="s">
        <v>394</v>
      </c>
    </row>
    <row r="4" spans="1:19">
      <c r="A4" s="34" t="s">
        <v>1144</v>
      </c>
      <c r="B4" s="35">
        <v>30</v>
      </c>
      <c r="C4" s="71">
        <v>1E-4</v>
      </c>
      <c r="D4" s="36">
        <v>54983</v>
      </c>
      <c r="E4" s="37">
        <f t="shared" ref="E4:E67" si="0">D4/D$195</f>
        <v>2.1933097172480197E-3</v>
      </c>
      <c r="F4" s="38">
        <v>111</v>
      </c>
      <c r="G4" s="37">
        <f t="shared" ref="G4:G67" si="1">F4/F$195</f>
        <v>4.3254735711616387E-5</v>
      </c>
      <c r="H4" s="39">
        <v>0</v>
      </c>
      <c r="I4" s="40">
        <f t="shared" ref="I4:I67" si="2">H4/H$195</f>
        <v>0</v>
      </c>
      <c r="J4" s="39"/>
      <c r="K4" s="88">
        <v>3.4000000000000002E-4</v>
      </c>
      <c r="L4" s="41">
        <v>0</v>
      </c>
      <c r="M4" s="37">
        <f t="shared" ref="M4:M67" si="3">L4/L$195</f>
        <v>0</v>
      </c>
      <c r="N4" s="38">
        <v>0</v>
      </c>
      <c r="O4" s="42">
        <f t="shared" ref="O4:O67" si="4">N4/N$195</f>
        <v>0</v>
      </c>
      <c r="P4" s="43"/>
      <c r="Q4" s="92">
        <f t="shared" ref="Q4:Q67" si="5">P4/P$195</f>
        <v>0</v>
      </c>
      <c r="R4" s="43"/>
      <c r="S4" s="44"/>
    </row>
    <row r="5" spans="1:19">
      <c r="A5" s="1" t="s">
        <v>1145</v>
      </c>
      <c r="B5" s="35">
        <v>83</v>
      </c>
      <c r="C5" s="71">
        <v>4.0000000000000002E-4</v>
      </c>
      <c r="D5" s="45">
        <v>58180</v>
      </c>
      <c r="E5" s="37">
        <f t="shared" si="0"/>
        <v>2.3208402478855244E-3</v>
      </c>
      <c r="F5" s="46">
        <v>1302</v>
      </c>
      <c r="G5" s="37">
        <f t="shared" si="1"/>
        <v>5.0736635942814901E-4</v>
      </c>
      <c r="H5" s="47">
        <v>30010</v>
      </c>
      <c r="I5" s="40">
        <f>H5/H$195</f>
        <v>1.0113721229310852E-3</v>
      </c>
      <c r="J5" s="48"/>
      <c r="K5" s="49"/>
      <c r="L5" s="50">
        <v>0</v>
      </c>
      <c r="M5" s="37">
        <f t="shared" si="3"/>
        <v>0</v>
      </c>
      <c r="N5" s="45">
        <v>0</v>
      </c>
      <c r="O5" s="42">
        <f t="shared" si="4"/>
        <v>0</v>
      </c>
      <c r="P5" s="51"/>
      <c r="Q5" s="92">
        <f t="shared" si="5"/>
        <v>0</v>
      </c>
      <c r="R5" s="51"/>
      <c r="S5" s="49"/>
    </row>
    <row r="6" spans="1:19">
      <c r="A6" s="1" t="s">
        <v>1146</v>
      </c>
      <c r="B6" s="35">
        <v>1061.0999999999999</v>
      </c>
      <c r="C6" s="71">
        <v>5.1000000000000004E-3</v>
      </c>
      <c r="D6" s="45">
        <v>96693</v>
      </c>
      <c r="E6" s="37">
        <f t="shared" si="0"/>
        <v>3.8571503280989171E-3</v>
      </c>
      <c r="F6" s="46">
        <v>5784</v>
      </c>
      <c r="G6" s="37">
        <f t="shared" si="1"/>
        <v>2.2539224446485513E-3</v>
      </c>
      <c r="H6" s="47">
        <v>0</v>
      </c>
      <c r="I6" s="40">
        <f t="shared" si="2"/>
        <v>0</v>
      </c>
      <c r="J6" s="48"/>
      <c r="K6" s="49"/>
      <c r="L6" s="50">
        <v>273071</v>
      </c>
      <c r="M6" s="37">
        <f>L6/L$195</f>
        <v>4.2147194683610889E-2</v>
      </c>
      <c r="N6" s="45">
        <v>0</v>
      </c>
      <c r="O6" s="42">
        <f t="shared" si="4"/>
        <v>0</v>
      </c>
      <c r="P6" s="51"/>
      <c r="Q6" s="92">
        <f t="shared" si="5"/>
        <v>0</v>
      </c>
      <c r="R6" s="51"/>
      <c r="S6" s="49"/>
    </row>
    <row r="7" spans="1:19">
      <c r="A7" s="1" t="s">
        <v>1147</v>
      </c>
      <c r="B7" s="35">
        <v>267.60000000000002</v>
      </c>
      <c r="C7" s="71">
        <v>1.2999999999999999E-3</v>
      </c>
      <c r="D7" s="45">
        <v>83593</v>
      </c>
      <c r="E7" s="37">
        <f t="shared" si="0"/>
        <v>3.3345823107854009E-3</v>
      </c>
      <c r="F7" s="46">
        <v>1481</v>
      </c>
      <c r="G7" s="37">
        <f t="shared" si="1"/>
        <v>5.771194917919268E-4</v>
      </c>
      <c r="H7" s="47">
        <v>0</v>
      </c>
      <c r="I7" s="40">
        <f t="shared" si="2"/>
        <v>0</v>
      </c>
      <c r="J7" s="48"/>
      <c r="K7" s="49"/>
      <c r="L7" s="50">
        <v>75121</v>
      </c>
      <c r="M7" s="37">
        <f t="shared" si="3"/>
        <v>1.1594564826830873E-2</v>
      </c>
      <c r="N7" s="45">
        <v>0</v>
      </c>
      <c r="O7" s="42">
        <f t="shared" si="4"/>
        <v>0</v>
      </c>
      <c r="P7" s="51"/>
      <c r="Q7" s="92">
        <f t="shared" si="5"/>
        <v>0</v>
      </c>
      <c r="R7" s="51"/>
      <c r="S7" s="49"/>
    </row>
    <row r="8" spans="1:19" ht="28.7">
      <c r="A8" s="1" t="s">
        <v>1148</v>
      </c>
      <c r="B8" s="35">
        <v>52</v>
      </c>
      <c r="C8" s="71">
        <v>2.0000000000000001E-4</v>
      </c>
      <c r="D8" s="46">
        <v>134439</v>
      </c>
      <c r="E8" s="37">
        <f t="shared" si="0"/>
        <v>5.3628642503520457E-3</v>
      </c>
      <c r="F8" s="46">
        <v>13</v>
      </c>
      <c r="G8" s="37">
        <f t="shared" si="1"/>
        <v>5.0658699482073248E-6</v>
      </c>
      <c r="H8" s="47">
        <v>0</v>
      </c>
      <c r="I8" s="40">
        <f t="shared" si="2"/>
        <v>0</v>
      </c>
      <c r="J8" s="52"/>
      <c r="K8" s="56"/>
      <c r="L8" s="53">
        <v>0</v>
      </c>
      <c r="M8" s="37">
        <f t="shared" si="3"/>
        <v>0</v>
      </c>
      <c r="N8" s="46">
        <v>0</v>
      </c>
      <c r="O8" s="42">
        <f t="shared" si="4"/>
        <v>0</v>
      </c>
      <c r="P8" s="54"/>
      <c r="Q8" s="92">
        <f t="shared" si="5"/>
        <v>0</v>
      </c>
      <c r="R8" s="55"/>
      <c r="S8" s="56"/>
    </row>
    <row r="9" spans="1:19" s="30" customFormat="1">
      <c r="A9" s="103" t="s">
        <v>1149</v>
      </c>
      <c r="B9" s="104">
        <v>1818</v>
      </c>
      <c r="C9" s="105">
        <v>8.6999999999999994E-3</v>
      </c>
      <c r="D9" s="106">
        <v>54615</v>
      </c>
      <c r="E9" s="107">
        <f t="shared" si="0"/>
        <v>2.1786299439372275E-3</v>
      </c>
      <c r="F9" s="106">
        <v>42405</v>
      </c>
      <c r="G9" s="107">
        <f t="shared" si="1"/>
        <v>1.6524478088748587E-2</v>
      </c>
      <c r="H9" s="108">
        <v>0</v>
      </c>
      <c r="I9" s="109">
        <f t="shared" si="2"/>
        <v>0</v>
      </c>
      <c r="J9" s="110"/>
      <c r="K9" s="111"/>
      <c r="L9" s="112">
        <v>6472</v>
      </c>
      <c r="M9" s="107">
        <f t="shared" si="3"/>
        <v>9.9892205321081202E-4</v>
      </c>
      <c r="N9" s="113">
        <v>900154</v>
      </c>
      <c r="O9" s="114">
        <f t="shared" si="4"/>
        <v>0.10757808115449298</v>
      </c>
      <c r="P9" s="115"/>
      <c r="Q9" s="116">
        <f t="shared" si="5"/>
        <v>0</v>
      </c>
      <c r="R9" s="115"/>
      <c r="S9" s="111"/>
    </row>
    <row r="10" spans="1:19">
      <c r="A10" s="1" t="s">
        <v>1150</v>
      </c>
      <c r="B10" s="35">
        <v>113.9</v>
      </c>
      <c r="C10" s="71">
        <v>5.0000000000000001E-4</v>
      </c>
      <c r="D10" s="46">
        <v>0</v>
      </c>
      <c r="E10" s="37">
        <f t="shared" si="0"/>
        <v>0</v>
      </c>
      <c r="F10" s="46">
        <v>992</v>
      </c>
      <c r="G10" s="37">
        <f t="shared" si="1"/>
        <v>3.8656484527858974E-4</v>
      </c>
      <c r="H10" s="47">
        <v>14990</v>
      </c>
      <c r="I10" s="40">
        <f t="shared" si="2"/>
        <v>5.0518054390992885E-4</v>
      </c>
      <c r="J10" s="57"/>
      <c r="K10" s="89">
        <v>2.99E-3</v>
      </c>
      <c r="L10" s="53">
        <v>0</v>
      </c>
      <c r="M10" s="37">
        <f t="shared" si="3"/>
        <v>0</v>
      </c>
      <c r="N10" s="59">
        <v>0</v>
      </c>
      <c r="O10" s="42">
        <f t="shared" si="4"/>
        <v>0</v>
      </c>
      <c r="P10" s="60"/>
      <c r="Q10" s="92">
        <f t="shared" si="5"/>
        <v>0</v>
      </c>
      <c r="R10" s="51"/>
      <c r="S10" s="49"/>
    </row>
    <row r="11" spans="1:19" s="30" customFormat="1">
      <c r="A11" s="103" t="s">
        <v>11</v>
      </c>
      <c r="B11" s="104">
        <v>3026</v>
      </c>
      <c r="C11" s="105">
        <v>1.4500000000000001E-2</v>
      </c>
      <c r="D11" s="106">
        <v>312566</v>
      </c>
      <c r="E11" s="107">
        <f t="shared" si="0"/>
        <v>1.2468472893100494E-2</v>
      </c>
      <c r="F11" s="106">
        <v>47329</v>
      </c>
      <c r="G11" s="107">
        <f t="shared" si="1"/>
        <v>1.8443273752208039E-2</v>
      </c>
      <c r="H11" s="108">
        <v>300140</v>
      </c>
      <c r="I11" s="109">
        <f t="shared" si="2"/>
        <v>1.0115069276125821E-2</v>
      </c>
      <c r="J11" s="117"/>
      <c r="K11" s="118">
        <v>5.79E-2</v>
      </c>
      <c r="L11" s="119">
        <v>0</v>
      </c>
      <c r="M11" s="107">
        <f t="shared" si="3"/>
        <v>0</v>
      </c>
      <c r="N11" s="113">
        <v>0</v>
      </c>
      <c r="O11" s="114">
        <f t="shared" si="4"/>
        <v>0</v>
      </c>
      <c r="P11" s="120"/>
      <c r="Q11" s="116">
        <f t="shared" si="5"/>
        <v>0</v>
      </c>
      <c r="R11" s="120"/>
      <c r="S11" s="121"/>
    </row>
    <row r="12" spans="1:19">
      <c r="A12" s="1" t="s">
        <v>974</v>
      </c>
      <c r="B12" s="35">
        <v>1399.4</v>
      </c>
      <c r="C12" s="71">
        <v>6.7000000000000002E-3</v>
      </c>
      <c r="D12" s="46">
        <v>206725</v>
      </c>
      <c r="E12" s="37">
        <f t="shared" si="0"/>
        <v>8.2464025480256959E-3</v>
      </c>
      <c r="F12" s="46">
        <v>19741</v>
      </c>
      <c r="G12" s="37">
        <f t="shared" si="1"/>
        <v>7.6927183575046772E-3</v>
      </c>
      <c r="H12" s="47">
        <v>684320</v>
      </c>
      <c r="I12" s="40">
        <f t="shared" si="2"/>
        <v>2.3062384910503171E-2</v>
      </c>
      <c r="J12" s="57"/>
      <c r="K12" s="90">
        <v>3.4099999999999998E-3</v>
      </c>
      <c r="L12" s="58">
        <v>29394</v>
      </c>
      <c r="M12" s="37">
        <f t="shared" si="3"/>
        <v>4.5368224400615898E-3</v>
      </c>
      <c r="N12" s="59">
        <v>13312</v>
      </c>
      <c r="O12" s="42">
        <f t="shared" si="4"/>
        <v>1.5909271261679786E-3</v>
      </c>
      <c r="P12" s="60">
        <v>5393232000</v>
      </c>
      <c r="Q12" s="92">
        <f t="shared" si="5"/>
        <v>2.2160249559285063E-2</v>
      </c>
      <c r="R12" s="51"/>
      <c r="S12" s="49"/>
    </row>
    <row r="13" spans="1:19">
      <c r="A13" s="1" t="s">
        <v>1151</v>
      </c>
      <c r="B13" s="35">
        <v>164.6</v>
      </c>
      <c r="C13" s="71">
        <v>8.0000000000000004E-4</v>
      </c>
      <c r="D13" s="46">
        <v>65915</v>
      </c>
      <c r="E13" s="37">
        <f t="shared" si="0"/>
        <v>2.6293947222305659E-3</v>
      </c>
      <c r="F13" s="46">
        <v>2367</v>
      </c>
      <c r="G13" s="37">
        <f t="shared" si="1"/>
        <v>9.2237801287744137E-4</v>
      </c>
      <c r="H13" s="47">
        <v>30010</v>
      </c>
      <c r="I13" s="40">
        <f t="shared" si="2"/>
        <v>1.0113721229310852E-3</v>
      </c>
      <c r="J13" s="57"/>
      <c r="K13" s="91">
        <v>4.45E-3</v>
      </c>
      <c r="L13" s="53">
        <v>0</v>
      </c>
      <c r="M13" s="37">
        <f t="shared" si="3"/>
        <v>0</v>
      </c>
      <c r="N13" s="59">
        <v>0</v>
      </c>
      <c r="O13" s="42">
        <f t="shared" si="4"/>
        <v>0</v>
      </c>
      <c r="P13" s="60"/>
      <c r="Q13" s="92">
        <f t="shared" si="5"/>
        <v>0</v>
      </c>
      <c r="R13" s="51"/>
      <c r="S13" s="49"/>
    </row>
    <row r="14" spans="1:19" ht="28.7">
      <c r="A14" s="1" t="s">
        <v>1152</v>
      </c>
      <c r="B14" s="35">
        <v>107.1</v>
      </c>
      <c r="C14" s="71">
        <v>5.0000000000000001E-4</v>
      </c>
      <c r="D14" s="46">
        <v>59072</v>
      </c>
      <c r="E14" s="37">
        <f t="shared" si="0"/>
        <v>2.3564227418888567E-3</v>
      </c>
      <c r="F14" s="46">
        <v>335</v>
      </c>
      <c r="G14" s="37">
        <f t="shared" si="1"/>
        <v>1.3054357174226567E-4</v>
      </c>
      <c r="H14" s="47">
        <v>0</v>
      </c>
      <c r="I14" s="40">
        <f t="shared" si="2"/>
        <v>0</v>
      </c>
      <c r="J14" s="57"/>
      <c r="K14" s="49"/>
      <c r="L14" s="53">
        <v>0</v>
      </c>
      <c r="M14" s="37">
        <f t="shared" si="3"/>
        <v>0</v>
      </c>
      <c r="N14" s="59">
        <v>17398</v>
      </c>
      <c r="O14" s="42">
        <f t="shared" si="4"/>
        <v>2.0792480574722424E-3</v>
      </c>
      <c r="P14" s="60"/>
      <c r="Q14" s="92">
        <f t="shared" si="5"/>
        <v>0</v>
      </c>
      <c r="R14" s="51"/>
      <c r="S14" s="49"/>
    </row>
    <row r="15" spans="1:19">
      <c r="A15" s="1" t="s">
        <v>1153</v>
      </c>
      <c r="B15" s="35">
        <v>110.3</v>
      </c>
      <c r="C15" s="71">
        <v>5.0000000000000001E-4</v>
      </c>
      <c r="D15" s="46">
        <v>0</v>
      </c>
      <c r="E15" s="37">
        <f t="shared" si="0"/>
        <v>0</v>
      </c>
      <c r="F15" s="46">
        <v>1746</v>
      </c>
      <c r="G15" s="37">
        <f t="shared" si="1"/>
        <v>6.8038530227461456E-4</v>
      </c>
      <c r="H15" s="47">
        <v>0</v>
      </c>
      <c r="I15" s="40">
        <f t="shared" si="2"/>
        <v>0</v>
      </c>
      <c r="J15" s="57"/>
      <c r="K15" s="49"/>
      <c r="L15" s="53">
        <v>0</v>
      </c>
      <c r="M15" s="37">
        <f t="shared" si="3"/>
        <v>0</v>
      </c>
      <c r="N15" s="59">
        <v>0</v>
      </c>
      <c r="O15" s="42">
        <f t="shared" si="4"/>
        <v>0</v>
      </c>
      <c r="P15" s="60"/>
      <c r="Q15" s="92">
        <f t="shared" si="5"/>
        <v>0</v>
      </c>
      <c r="R15" s="51"/>
      <c r="S15" s="49"/>
    </row>
    <row r="16" spans="1:19">
      <c r="A16" s="1" t="s">
        <v>273</v>
      </c>
      <c r="B16" s="35">
        <v>646.79999999999995</v>
      </c>
      <c r="C16" s="71">
        <v>3.0999999999999999E-3</v>
      </c>
      <c r="D16" s="46">
        <v>138893</v>
      </c>
      <c r="E16" s="37">
        <f t="shared" si="0"/>
        <v>5.5405373762386408E-3</v>
      </c>
      <c r="F16" s="46">
        <v>9632</v>
      </c>
      <c r="G16" s="37">
        <f t="shared" si="1"/>
        <v>3.7534199493179194E-3</v>
      </c>
      <c r="H16" s="47">
        <v>0</v>
      </c>
      <c r="I16" s="40">
        <f t="shared" si="2"/>
        <v>0</v>
      </c>
      <c r="J16" s="57"/>
      <c r="K16" s="91">
        <v>1.022E-2</v>
      </c>
      <c r="L16" s="53">
        <v>0</v>
      </c>
      <c r="M16" s="37">
        <f t="shared" si="3"/>
        <v>0</v>
      </c>
      <c r="N16" s="59">
        <v>0</v>
      </c>
      <c r="O16" s="42">
        <f t="shared" si="4"/>
        <v>0</v>
      </c>
      <c r="P16" s="60"/>
      <c r="Q16" s="92">
        <f t="shared" si="5"/>
        <v>0</v>
      </c>
      <c r="R16" s="51"/>
      <c r="S16" s="49"/>
    </row>
    <row r="17" spans="1:19">
      <c r="A17" s="1" t="s">
        <v>1154</v>
      </c>
      <c r="B17" s="35">
        <v>94.8</v>
      </c>
      <c r="C17" s="71">
        <v>5.0000000000000001E-4</v>
      </c>
      <c r="D17" s="46">
        <v>59098</v>
      </c>
      <c r="E17" s="37">
        <f t="shared" si="0"/>
        <v>2.357459899785815E-3</v>
      </c>
      <c r="F17" s="46">
        <v>361</v>
      </c>
      <c r="G17" s="37">
        <f t="shared" si="1"/>
        <v>1.4067531163868032E-4</v>
      </c>
      <c r="H17" s="47">
        <v>0</v>
      </c>
      <c r="I17" s="40">
        <f t="shared" si="2"/>
        <v>0</v>
      </c>
      <c r="J17" s="57"/>
      <c r="K17" s="49"/>
      <c r="L17" s="53">
        <v>0</v>
      </c>
      <c r="M17" s="37">
        <f t="shared" si="3"/>
        <v>0</v>
      </c>
      <c r="N17" s="59">
        <v>10767</v>
      </c>
      <c r="O17" s="42">
        <f t="shared" si="4"/>
        <v>1.2867722631798846E-3</v>
      </c>
      <c r="P17" s="60"/>
      <c r="Q17" s="92">
        <f t="shared" si="5"/>
        <v>0</v>
      </c>
      <c r="R17" s="51"/>
      <c r="S17" s="49"/>
    </row>
    <row r="18" spans="1:19">
      <c r="A18" s="1" t="s">
        <v>1155</v>
      </c>
      <c r="B18" s="35">
        <v>405.7</v>
      </c>
      <c r="C18" s="71">
        <v>1.9E-3</v>
      </c>
      <c r="D18" s="46">
        <v>0</v>
      </c>
      <c r="E18" s="37">
        <f t="shared" si="0"/>
        <v>0</v>
      </c>
      <c r="F18" s="46">
        <v>5267</v>
      </c>
      <c r="G18" s="37">
        <f t="shared" si="1"/>
        <v>2.052456693631383E-3</v>
      </c>
      <c r="H18" s="47">
        <v>60020</v>
      </c>
      <c r="I18" s="40">
        <f t="shared" si="2"/>
        <v>2.0227442458621704E-3</v>
      </c>
      <c r="J18" s="57"/>
      <c r="K18" s="49"/>
      <c r="L18" s="53">
        <v>0</v>
      </c>
      <c r="M18" s="37">
        <f t="shared" si="3"/>
        <v>0</v>
      </c>
      <c r="N18" s="59">
        <v>0</v>
      </c>
      <c r="O18" s="42">
        <f t="shared" si="4"/>
        <v>0</v>
      </c>
      <c r="P18" s="60"/>
      <c r="Q18" s="92">
        <f t="shared" si="5"/>
        <v>0</v>
      </c>
      <c r="R18" s="51"/>
      <c r="S18" s="49"/>
    </row>
    <row r="19" spans="1:19">
      <c r="A19" s="1" t="s">
        <v>1156</v>
      </c>
      <c r="B19" s="35">
        <v>3581.3</v>
      </c>
      <c r="C19" s="71">
        <v>1.7100000000000001E-2</v>
      </c>
      <c r="D19" s="46">
        <v>275474</v>
      </c>
      <c r="E19" s="37">
        <f t="shared" si="0"/>
        <v>1.0988847481024697E-2</v>
      </c>
      <c r="F19" s="46">
        <v>50610</v>
      </c>
      <c r="G19" s="37">
        <f t="shared" si="1"/>
        <v>1.9721821390674823E-2</v>
      </c>
      <c r="H19" s="47">
        <v>684320</v>
      </c>
      <c r="I19" s="40">
        <f t="shared" si="2"/>
        <v>2.3062384910503171E-2</v>
      </c>
      <c r="J19" s="57"/>
      <c r="K19" s="90">
        <v>3.4099999999999998E-3</v>
      </c>
      <c r="L19" s="58">
        <v>41992</v>
      </c>
      <c r="M19" s="37">
        <f t="shared" si="3"/>
        <v>6.481263111623674E-3</v>
      </c>
      <c r="N19" s="59">
        <v>27438</v>
      </c>
      <c r="O19" s="42">
        <f t="shared" si="4"/>
        <v>3.2791360041914811E-3</v>
      </c>
      <c r="P19" s="60">
        <v>10864587500</v>
      </c>
      <c r="Q19" s="92">
        <f t="shared" si="5"/>
        <v>4.4641500747360584E-2</v>
      </c>
      <c r="R19" s="51"/>
      <c r="S19" s="49"/>
    </row>
    <row r="20" spans="1:19">
      <c r="A20" s="1" t="s">
        <v>1157</v>
      </c>
      <c r="B20" s="35">
        <v>58.6</v>
      </c>
      <c r="C20" s="71">
        <v>2.9999999999999997E-4</v>
      </c>
      <c r="D20" s="46">
        <v>19834</v>
      </c>
      <c r="E20" s="37">
        <f t="shared" si="0"/>
        <v>7.9119191262567014E-4</v>
      </c>
      <c r="F20" s="46">
        <v>101</v>
      </c>
      <c r="G20" s="37">
        <f t="shared" si="1"/>
        <v>3.9357912674533831E-5</v>
      </c>
      <c r="H20" s="47">
        <v>0</v>
      </c>
      <c r="I20" s="40">
        <f t="shared" si="2"/>
        <v>0</v>
      </c>
      <c r="J20" s="57"/>
      <c r="K20" s="49"/>
      <c r="L20" s="53">
        <v>0</v>
      </c>
      <c r="M20" s="37">
        <f t="shared" si="3"/>
        <v>0</v>
      </c>
      <c r="N20" s="59">
        <v>9178</v>
      </c>
      <c r="O20" s="42">
        <f t="shared" si="4"/>
        <v>1.0968696787837821E-3</v>
      </c>
      <c r="P20" s="60"/>
      <c r="Q20" s="92">
        <f t="shared" si="5"/>
        <v>0</v>
      </c>
      <c r="R20" s="51"/>
      <c r="S20" s="49"/>
    </row>
    <row r="21" spans="1:19">
      <c r="A21" s="1" t="s">
        <v>1158</v>
      </c>
      <c r="B21" s="35">
        <v>86.8</v>
      </c>
      <c r="C21" s="71">
        <v>4.0000000000000002E-4</v>
      </c>
      <c r="D21" s="46">
        <v>61412</v>
      </c>
      <c r="E21" s="37">
        <f t="shared" si="0"/>
        <v>2.4497669526150879E-3</v>
      </c>
      <c r="F21" s="46">
        <v>119</v>
      </c>
      <c r="G21" s="37">
        <f t="shared" si="1"/>
        <v>4.6372194141282439E-5</v>
      </c>
      <c r="H21" s="47">
        <v>0</v>
      </c>
      <c r="I21" s="40">
        <f t="shared" si="2"/>
        <v>0</v>
      </c>
      <c r="J21" s="57"/>
      <c r="K21" s="49"/>
      <c r="L21" s="53">
        <v>13030</v>
      </c>
      <c r="M21" s="37">
        <f t="shared" si="3"/>
        <v>2.0111177925427816E-3</v>
      </c>
      <c r="N21" s="59">
        <v>0</v>
      </c>
      <c r="O21" s="42">
        <f t="shared" si="4"/>
        <v>0</v>
      </c>
      <c r="P21" s="60"/>
      <c r="Q21" s="92">
        <f t="shared" si="5"/>
        <v>0</v>
      </c>
      <c r="R21" s="51"/>
      <c r="S21" s="49"/>
    </row>
    <row r="22" spans="1:19">
      <c r="A22" s="1" t="s">
        <v>1159</v>
      </c>
      <c r="B22" s="35">
        <v>59.4</v>
      </c>
      <c r="C22" s="71">
        <v>2.9999999999999997E-4</v>
      </c>
      <c r="D22" s="46">
        <v>43467</v>
      </c>
      <c r="E22" s="37">
        <f t="shared" si="0"/>
        <v>1.7339285502722599E-3</v>
      </c>
      <c r="F22" s="46">
        <v>720</v>
      </c>
      <c r="G22" s="37">
        <f t="shared" si="1"/>
        <v>2.8057125866994416E-4</v>
      </c>
      <c r="H22" s="47">
        <v>0</v>
      </c>
      <c r="I22" s="40">
        <f t="shared" si="2"/>
        <v>0</v>
      </c>
      <c r="J22" s="57"/>
      <c r="K22" s="91">
        <v>6.0000000000000002E-5</v>
      </c>
      <c r="L22" s="53">
        <v>0</v>
      </c>
      <c r="M22" s="37">
        <f t="shared" si="3"/>
        <v>0</v>
      </c>
      <c r="N22" s="59">
        <v>0</v>
      </c>
      <c r="O22" s="42">
        <f t="shared" si="4"/>
        <v>0</v>
      </c>
      <c r="P22" s="60"/>
      <c r="Q22" s="92">
        <f t="shared" si="5"/>
        <v>0</v>
      </c>
      <c r="R22" s="51"/>
      <c r="S22" s="49"/>
    </row>
    <row r="23" spans="1:19">
      <c r="A23" s="1" t="s">
        <v>1160</v>
      </c>
      <c r="B23" s="35">
        <v>178.5</v>
      </c>
      <c r="C23" s="71">
        <v>8.9999999999999998E-4</v>
      </c>
      <c r="D23" s="46">
        <v>71089</v>
      </c>
      <c r="E23" s="37">
        <f t="shared" si="0"/>
        <v>2.8357891437252327E-3</v>
      </c>
      <c r="F23" s="46">
        <v>1902</v>
      </c>
      <c r="G23" s="37">
        <f t="shared" si="1"/>
        <v>7.4117574165310249E-4</v>
      </c>
      <c r="H23" s="47">
        <v>0</v>
      </c>
      <c r="I23" s="40">
        <f t="shared" si="2"/>
        <v>0</v>
      </c>
      <c r="J23" s="57"/>
      <c r="K23" s="49"/>
      <c r="L23" s="53">
        <v>0</v>
      </c>
      <c r="M23" s="37">
        <f t="shared" si="3"/>
        <v>0</v>
      </c>
      <c r="N23" s="59">
        <v>72258</v>
      </c>
      <c r="O23" s="42">
        <f t="shared" si="4"/>
        <v>8.6356078938285598E-3</v>
      </c>
      <c r="P23" s="60"/>
      <c r="Q23" s="92">
        <f t="shared" si="5"/>
        <v>0</v>
      </c>
      <c r="R23" s="51"/>
      <c r="S23" s="49"/>
    </row>
    <row r="24" spans="1:19" ht="28.7">
      <c r="A24" s="1" t="s">
        <v>265</v>
      </c>
      <c r="B24" s="35">
        <v>54.9</v>
      </c>
      <c r="C24" s="71">
        <v>2.9999999999999997E-4</v>
      </c>
      <c r="D24" s="46">
        <v>51994</v>
      </c>
      <c r="E24" s="37">
        <f t="shared" si="0"/>
        <v>2.0740764497861799E-3</v>
      </c>
      <c r="F24" s="46">
        <v>620</v>
      </c>
      <c r="G24" s="37">
        <f t="shared" si="1"/>
        <v>2.4160302829911857E-4</v>
      </c>
      <c r="H24" s="47">
        <v>50710</v>
      </c>
      <c r="I24" s="40">
        <f t="shared" si="2"/>
        <v>1.7089863496779515E-3</v>
      </c>
      <c r="J24" s="57"/>
      <c r="K24" s="49"/>
      <c r="L24" s="53">
        <v>0</v>
      </c>
      <c r="M24" s="37">
        <f t="shared" si="3"/>
        <v>0</v>
      </c>
      <c r="N24" s="59">
        <v>0</v>
      </c>
      <c r="O24" s="42">
        <f t="shared" si="4"/>
        <v>0</v>
      </c>
      <c r="P24" s="60"/>
      <c r="Q24" s="92">
        <f t="shared" si="5"/>
        <v>0</v>
      </c>
      <c r="R24" s="51"/>
      <c r="S24" s="49"/>
    </row>
    <row r="25" spans="1:19">
      <c r="A25" s="1" t="s">
        <v>431</v>
      </c>
      <c r="B25" s="35">
        <v>61.5</v>
      </c>
      <c r="C25" s="71">
        <v>2.9999999999999997E-4</v>
      </c>
      <c r="D25" s="46">
        <v>51149</v>
      </c>
      <c r="E25" s="37">
        <f t="shared" si="0"/>
        <v>2.0403688181350409E-3</v>
      </c>
      <c r="F25" s="46">
        <v>113</v>
      </c>
      <c r="G25" s="37">
        <f t="shared" si="1"/>
        <v>4.4034100319032899E-5</v>
      </c>
      <c r="H25" s="47">
        <v>0</v>
      </c>
      <c r="I25" s="40">
        <f t="shared" si="2"/>
        <v>0</v>
      </c>
      <c r="J25" s="35"/>
      <c r="K25" s="62"/>
      <c r="L25" s="53">
        <v>70077</v>
      </c>
      <c r="M25" s="37">
        <f t="shared" si="3"/>
        <v>1.0816047701306255E-2</v>
      </c>
      <c r="N25" s="59">
        <v>0</v>
      </c>
      <c r="O25" s="42">
        <f t="shared" si="4"/>
        <v>0</v>
      </c>
      <c r="P25" s="35"/>
      <c r="Q25" s="92">
        <f t="shared" si="5"/>
        <v>0</v>
      </c>
      <c r="R25" s="61"/>
      <c r="S25" s="62"/>
    </row>
    <row r="26" spans="1:19" s="30" customFormat="1">
      <c r="A26" s="103" t="s">
        <v>473</v>
      </c>
      <c r="B26" s="104">
        <v>4196.3</v>
      </c>
      <c r="C26" s="105">
        <v>2.01E-2</v>
      </c>
      <c r="D26" s="106">
        <v>412322</v>
      </c>
      <c r="E26" s="107">
        <f t="shared" si="0"/>
        <v>1.6447808399598748E-2</v>
      </c>
      <c r="F26" s="106">
        <v>55585</v>
      </c>
      <c r="G26" s="107">
        <f t="shared" si="1"/>
        <v>2.1660490851623398E-2</v>
      </c>
      <c r="H26" s="108">
        <v>0</v>
      </c>
      <c r="I26" s="109">
        <f t="shared" si="2"/>
        <v>0</v>
      </c>
      <c r="J26" s="104"/>
      <c r="K26" s="122"/>
      <c r="L26" s="112">
        <v>24411</v>
      </c>
      <c r="M26" s="107">
        <f t="shared" si="3"/>
        <v>3.7677203709717451E-3</v>
      </c>
      <c r="N26" s="113">
        <v>900154</v>
      </c>
      <c r="O26" s="114">
        <f t="shared" si="4"/>
        <v>0.10757808115449298</v>
      </c>
      <c r="P26" s="104"/>
      <c r="Q26" s="116">
        <f t="shared" si="5"/>
        <v>0</v>
      </c>
      <c r="R26" s="104"/>
      <c r="S26" s="122"/>
    </row>
    <row r="27" spans="1:19" ht="28.7">
      <c r="A27" s="1" t="s">
        <v>1161</v>
      </c>
      <c r="B27" s="35">
        <v>237.3</v>
      </c>
      <c r="C27" s="71">
        <v>1.1000000000000001E-3</v>
      </c>
      <c r="D27" s="46">
        <v>0</v>
      </c>
      <c r="E27" s="37">
        <f t="shared" si="0"/>
        <v>0</v>
      </c>
      <c r="F27" s="46">
        <v>0</v>
      </c>
      <c r="G27" s="37">
        <f t="shared" si="1"/>
        <v>0</v>
      </c>
      <c r="H27" s="47">
        <v>0</v>
      </c>
      <c r="I27" s="40">
        <f t="shared" si="2"/>
        <v>0</v>
      </c>
      <c r="J27" s="35"/>
      <c r="K27" s="71">
        <v>3.5300000000000002E-3</v>
      </c>
      <c r="L27" s="53">
        <v>0</v>
      </c>
      <c r="M27" s="37">
        <f t="shared" si="3"/>
        <v>0</v>
      </c>
      <c r="N27" s="59">
        <v>0</v>
      </c>
      <c r="O27" s="42">
        <f t="shared" si="4"/>
        <v>0</v>
      </c>
      <c r="P27" s="35"/>
      <c r="Q27" s="92">
        <f t="shared" si="5"/>
        <v>0</v>
      </c>
      <c r="R27" s="61"/>
      <c r="S27" s="62"/>
    </row>
    <row r="28" spans="1:19">
      <c r="A28" s="1" t="s">
        <v>1162</v>
      </c>
      <c r="B28" s="35">
        <v>521.5</v>
      </c>
      <c r="C28" s="71">
        <v>2.5000000000000001E-3</v>
      </c>
      <c r="D28" s="46">
        <v>0</v>
      </c>
      <c r="E28" s="37">
        <f t="shared" si="0"/>
        <v>0</v>
      </c>
      <c r="F28" s="46">
        <v>4934</v>
      </c>
      <c r="G28" s="37">
        <f t="shared" si="1"/>
        <v>1.922692486496534E-3</v>
      </c>
      <c r="H28" s="47">
        <v>237110</v>
      </c>
      <c r="I28" s="40">
        <f t="shared" si="2"/>
        <v>7.9908845074371741E-3</v>
      </c>
      <c r="J28" s="35"/>
      <c r="K28" s="62"/>
      <c r="L28" s="53">
        <v>0</v>
      </c>
      <c r="M28" s="37">
        <f t="shared" si="3"/>
        <v>0</v>
      </c>
      <c r="N28" s="59">
        <v>0</v>
      </c>
      <c r="O28" s="42">
        <f t="shared" si="4"/>
        <v>0</v>
      </c>
      <c r="P28" s="35">
        <v>427869500</v>
      </c>
      <c r="Q28" s="92">
        <f t="shared" si="5"/>
        <v>1.7580728770441399E-3</v>
      </c>
      <c r="R28" s="61"/>
      <c r="S28" s="62"/>
    </row>
    <row r="29" spans="1:19">
      <c r="A29" s="1" t="s">
        <v>1163</v>
      </c>
      <c r="B29" s="35">
        <v>86.8</v>
      </c>
      <c r="C29" s="71">
        <v>4.0000000000000002E-4</v>
      </c>
      <c r="D29" s="46">
        <v>61411</v>
      </c>
      <c r="E29" s="37">
        <f t="shared" si="0"/>
        <v>2.4497270619267433E-3</v>
      </c>
      <c r="F29" s="46">
        <v>836</v>
      </c>
      <c r="G29" s="37">
        <f t="shared" si="1"/>
        <v>3.2577440590010181E-4</v>
      </c>
      <c r="H29" s="47">
        <v>0</v>
      </c>
      <c r="I29" s="40">
        <f t="shared" si="2"/>
        <v>0</v>
      </c>
      <c r="J29" s="35"/>
      <c r="K29" s="62"/>
      <c r="L29" s="53">
        <v>26366</v>
      </c>
      <c r="M29" s="37">
        <f t="shared" si="3"/>
        <v>4.0694652124468895E-3</v>
      </c>
      <c r="N29" s="59">
        <v>0</v>
      </c>
      <c r="O29" s="42">
        <f t="shared" si="4"/>
        <v>0</v>
      </c>
      <c r="P29" s="35"/>
      <c r="Q29" s="92">
        <f t="shared" si="5"/>
        <v>0</v>
      </c>
      <c r="R29" s="61"/>
      <c r="S29" s="62"/>
    </row>
    <row r="30" spans="1:19">
      <c r="A30" s="1" t="s">
        <v>1164</v>
      </c>
      <c r="B30" s="35">
        <v>82.3</v>
      </c>
      <c r="C30" s="71">
        <v>4.0000000000000002E-4</v>
      </c>
      <c r="D30" s="46">
        <v>52038</v>
      </c>
      <c r="E30" s="37">
        <f t="shared" si="0"/>
        <v>2.07583164007334E-3</v>
      </c>
      <c r="F30" s="46">
        <v>100</v>
      </c>
      <c r="G30" s="37">
        <f t="shared" si="1"/>
        <v>3.8968230370825576E-5</v>
      </c>
      <c r="H30" s="47">
        <v>0</v>
      </c>
      <c r="I30" s="40">
        <f t="shared" si="2"/>
        <v>0</v>
      </c>
      <c r="J30" s="35"/>
      <c r="K30" s="62"/>
      <c r="L30" s="53">
        <v>15894</v>
      </c>
      <c r="M30" s="37">
        <f t="shared" si="3"/>
        <v>2.4531624094148094E-3</v>
      </c>
      <c r="N30" s="59">
        <v>0</v>
      </c>
      <c r="O30" s="42">
        <f t="shared" si="4"/>
        <v>0</v>
      </c>
      <c r="P30" s="35"/>
      <c r="Q30" s="92">
        <f t="shared" si="5"/>
        <v>0</v>
      </c>
      <c r="R30" s="61"/>
      <c r="S30" s="62"/>
    </row>
    <row r="31" spans="1:19">
      <c r="A31" s="1" t="s">
        <v>1165</v>
      </c>
      <c r="B31" s="35">
        <v>50.8</v>
      </c>
      <c r="C31" s="71">
        <v>2.0000000000000001E-4</v>
      </c>
      <c r="D31" s="46">
        <v>43840</v>
      </c>
      <c r="E31" s="37">
        <f t="shared" si="0"/>
        <v>1.7488077770247746E-3</v>
      </c>
      <c r="F31" s="46">
        <v>339</v>
      </c>
      <c r="G31" s="37">
        <f t="shared" si="1"/>
        <v>1.321023009570987E-4</v>
      </c>
      <c r="H31" s="47">
        <v>0</v>
      </c>
      <c r="I31" s="40">
        <f t="shared" si="2"/>
        <v>0</v>
      </c>
      <c r="J31" s="35"/>
      <c r="K31" s="71">
        <v>5.0000000000000001E-4</v>
      </c>
      <c r="L31" s="53">
        <v>0</v>
      </c>
      <c r="M31" s="37">
        <f t="shared" si="3"/>
        <v>0</v>
      </c>
      <c r="N31" s="59">
        <v>0</v>
      </c>
      <c r="O31" s="42">
        <f t="shared" si="4"/>
        <v>0</v>
      </c>
      <c r="P31" s="35"/>
      <c r="Q31" s="92">
        <f t="shared" si="5"/>
        <v>0</v>
      </c>
      <c r="R31" s="61"/>
      <c r="S31" s="62"/>
    </row>
    <row r="32" spans="1:19">
      <c r="A32" s="1" t="s">
        <v>1166</v>
      </c>
      <c r="B32" s="35">
        <v>21.4</v>
      </c>
      <c r="C32" s="71">
        <v>1E-4</v>
      </c>
      <c r="D32" s="46">
        <v>68655</v>
      </c>
      <c r="E32" s="37">
        <f t="shared" si="0"/>
        <v>2.7386952082946144E-3</v>
      </c>
      <c r="F32" s="46">
        <v>885</v>
      </c>
      <c r="G32" s="37">
        <f t="shared" si="1"/>
        <v>3.4486883878180635E-4</v>
      </c>
      <c r="H32" s="47">
        <v>0</v>
      </c>
      <c r="I32" s="40">
        <f t="shared" si="2"/>
        <v>0</v>
      </c>
      <c r="J32" s="35"/>
      <c r="K32" s="62"/>
      <c r="L32" s="53">
        <v>70355</v>
      </c>
      <c r="M32" s="37">
        <f t="shared" si="3"/>
        <v>1.0858955663418832E-2</v>
      </c>
      <c r="N32" s="59">
        <v>0</v>
      </c>
      <c r="O32" s="42">
        <f t="shared" si="4"/>
        <v>0</v>
      </c>
      <c r="P32" s="35"/>
      <c r="Q32" s="92">
        <f t="shared" si="5"/>
        <v>0</v>
      </c>
      <c r="R32" s="61"/>
      <c r="S32" s="62"/>
    </row>
    <row r="33" spans="1:19" s="30" customFormat="1">
      <c r="A33" s="103" t="s">
        <v>20</v>
      </c>
      <c r="B33" s="104">
        <v>152.69999999999999</v>
      </c>
      <c r="C33" s="105">
        <v>6.9999999999999999E-4</v>
      </c>
      <c r="D33" s="106">
        <v>60782</v>
      </c>
      <c r="E33" s="107">
        <f t="shared" si="0"/>
        <v>2.4246358189580256E-3</v>
      </c>
      <c r="F33" s="106">
        <v>81342</v>
      </c>
      <c r="G33" s="107">
        <f t="shared" si="1"/>
        <v>3.1697537948236938E-2</v>
      </c>
      <c r="H33" s="108">
        <v>1020490</v>
      </c>
      <c r="I33" s="109">
        <f t="shared" si="2"/>
        <v>3.4391707355213033E-2</v>
      </c>
      <c r="J33" s="104"/>
      <c r="K33" s="123">
        <v>5.237E-2</v>
      </c>
      <c r="L33" s="112">
        <v>246629</v>
      </c>
      <c r="M33" s="107">
        <f t="shared" si="3"/>
        <v>3.8065999236917392E-2</v>
      </c>
      <c r="N33" s="113">
        <v>334887</v>
      </c>
      <c r="O33" s="114">
        <f t="shared" si="4"/>
        <v>4.0022597092924869E-2</v>
      </c>
      <c r="P33" s="104"/>
      <c r="Q33" s="116">
        <f t="shared" si="5"/>
        <v>0</v>
      </c>
      <c r="R33" s="104"/>
      <c r="S33" s="122"/>
    </row>
    <row r="34" spans="1:19">
      <c r="A34" s="1" t="s">
        <v>1167</v>
      </c>
      <c r="B34" s="35">
        <v>5835.4</v>
      </c>
      <c r="C34" s="71">
        <v>2.7900000000000001E-2</v>
      </c>
      <c r="D34" s="46">
        <v>659785</v>
      </c>
      <c r="E34" s="37">
        <f t="shared" si="0"/>
        <v>2.6319277809404445E-2</v>
      </c>
      <c r="F34" s="46">
        <v>15</v>
      </c>
      <c r="G34" s="37">
        <f t="shared" si="1"/>
        <v>5.8452345556238369E-6</v>
      </c>
      <c r="H34" s="47">
        <v>0</v>
      </c>
      <c r="I34" s="40">
        <f t="shared" si="2"/>
        <v>0</v>
      </c>
      <c r="J34" s="35"/>
      <c r="K34" s="62"/>
      <c r="L34" s="53">
        <v>5544</v>
      </c>
      <c r="M34" s="37">
        <f t="shared" si="3"/>
        <v>8.5568971925227783E-4</v>
      </c>
      <c r="N34" s="59">
        <v>0</v>
      </c>
      <c r="O34" s="42">
        <f t="shared" si="4"/>
        <v>0</v>
      </c>
      <c r="P34" s="35"/>
      <c r="Q34" s="92">
        <f t="shared" si="5"/>
        <v>0</v>
      </c>
      <c r="R34" s="61"/>
      <c r="S34" s="62"/>
    </row>
    <row r="35" spans="1:19" ht="43">
      <c r="A35" s="1" t="s">
        <v>1168</v>
      </c>
      <c r="B35" s="35">
        <v>86.2</v>
      </c>
      <c r="C35" s="71">
        <v>4.0000000000000002E-4</v>
      </c>
      <c r="D35" s="46">
        <v>48910</v>
      </c>
      <c r="E35" s="37">
        <f t="shared" si="0"/>
        <v>1.9510535669316085E-3</v>
      </c>
      <c r="F35" s="46">
        <v>119</v>
      </c>
      <c r="G35" s="37">
        <f t="shared" si="1"/>
        <v>4.6372194141282439E-5</v>
      </c>
      <c r="H35" s="47">
        <v>0</v>
      </c>
      <c r="I35" s="40">
        <f t="shared" si="2"/>
        <v>0</v>
      </c>
      <c r="J35" s="35"/>
      <c r="K35" s="62"/>
      <c r="L35" s="53">
        <v>3327</v>
      </c>
      <c r="M35" s="37">
        <f t="shared" si="3"/>
        <v>5.135064386638399E-4</v>
      </c>
      <c r="N35" s="59">
        <v>0</v>
      </c>
      <c r="O35" s="42">
        <f t="shared" si="4"/>
        <v>0</v>
      </c>
      <c r="P35" s="35"/>
      <c r="Q35" s="92">
        <f t="shared" si="5"/>
        <v>0</v>
      </c>
      <c r="R35" s="61"/>
      <c r="S35" s="62"/>
    </row>
    <row r="36" spans="1:19">
      <c r="A36" s="1" t="s">
        <v>1169</v>
      </c>
      <c r="B36" s="35">
        <v>86.2</v>
      </c>
      <c r="C36" s="71">
        <v>4.0000000000000002E-4</v>
      </c>
      <c r="D36" s="46">
        <v>48910</v>
      </c>
      <c r="E36" s="37">
        <f t="shared" si="0"/>
        <v>1.9510535669316085E-3</v>
      </c>
      <c r="F36" s="46">
        <v>1364</v>
      </c>
      <c r="G36" s="37">
        <f t="shared" si="1"/>
        <v>5.3152666225806083E-4</v>
      </c>
      <c r="H36" s="47">
        <v>0</v>
      </c>
      <c r="I36" s="40">
        <f t="shared" si="2"/>
        <v>0</v>
      </c>
      <c r="J36" s="35"/>
      <c r="K36" s="62"/>
      <c r="L36" s="53">
        <v>4903</v>
      </c>
      <c r="M36" s="37">
        <f t="shared" si="3"/>
        <v>7.5675445409341955E-4</v>
      </c>
      <c r="N36" s="59">
        <v>0</v>
      </c>
      <c r="O36" s="42">
        <f t="shared" si="4"/>
        <v>0</v>
      </c>
      <c r="P36" s="35"/>
      <c r="Q36" s="92">
        <f t="shared" si="5"/>
        <v>0</v>
      </c>
      <c r="R36" s="61"/>
      <c r="S36" s="62"/>
    </row>
    <row r="37" spans="1:19">
      <c r="A37" s="1" t="s">
        <v>144</v>
      </c>
      <c r="B37" s="35">
        <v>874.6</v>
      </c>
      <c r="C37" s="71">
        <v>4.1999999999999997E-3</v>
      </c>
      <c r="D37" s="46">
        <v>58505</v>
      </c>
      <c r="E37" s="37">
        <f t="shared" si="0"/>
        <v>2.3338047215975006E-3</v>
      </c>
      <c r="F37" s="46">
        <v>12647</v>
      </c>
      <c r="G37" s="37">
        <f t="shared" si="1"/>
        <v>4.9283120949983111E-3</v>
      </c>
      <c r="H37" s="47">
        <v>0</v>
      </c>
      <c r="I37" s="40">
        <f t="shared" si="2"/>
        <v>0</v>
      </c>
      <c r="J37" s="35"/>
      <c r="K37" s="62"/>
      <c r="L37" s="53">
        <v>0</v>
      </c>
      <c r="M37" s="37">
        <f t="shared" si="3"/>
        <v>0</v>
      </c>
      <c r="N37" s="59">
        <v>247163</v>
      </c>
      <c r="O37" s="42">
        <f t="shared" si="4"/>
        <v>2.9538635913841354E-2</v>
      </c>
      <c r="P37" s="35"/>
      <c r="Q37" s="92">
        <f t="shared" si="5"/>
        <v>0</v>
      </c>
      <c r="R37" s="61"/>
      <c r="S37" s="62"/>
    </row>
    <row r="38" spans="1:19" s="30" customFormat="1">
      <c r="A38" s="103" t="s">
        <v>239</v>
      </c>
      <c r="B38" s="104">
        <v>10659.4</v>
      </c>
      <c r="C38" s="105">
        <v>5.0999999999999997E-2</v>
      </c>
      <c r="D38" s="106">
        <v>532536</v>
      </c>
      <c r="E38" s="107">
        <f t="shared" si="0"/>
        <v>2.1243227608249666E-2</v>
      </c>
      <c r="F38" s="106">
        <v>61756</v>
      </c>
      <c r="G38" s="107">
        <f t="shared" si="1"/>
        <v>2.4065220347807042E-2</v>
      </c>
      <c r="H38" s="108">
        <v>0</v>
      </c>
      <c r="I38" s="109">
        <f t="shared" si="2"/>
        <v>0</v>
      </c>
      <c r="J38" s="104"/>
      <c r="K38" s="116">
        <v>6.4509999999999998E-2</v>
      </c>
      <c r="L38" s="112">
        <v>74364</v>
      </c>
      <c r="M38" s="107">
        <f t="shared" si="3"/>
        <v>1.1477725519927198E-2</v>
      </c>
      <c r="N38" s="113">
        <v>184</v>
      </c>
      <c r="O38" s="114">
        <f t="shared" si="4"/>
        <v>2.1989978306408359E-5</v>
      </c>
      <c r="P38" s="104"/>
      <c r="Q38" s="116">
        <f t="shared" si="5"/>
        <v>0</v>
      </c>
      <c r="R38" s="104"/>
      <c r="S38" s="122"/>
    </row>
    <row r="39" spans="1:19">
      <c r="A39" s="1" t="s">
        <v>127</v>
      </c>
      <c r="B39" s="35">
        <v>973</v>
      </c>
      <c r="C39" s="71">
        <v>4.7000000000000002E-3</v>
      </c>
      <c r="D39" s="46">
        <v>92384</v>
      </c>
      <c r="E39" s="37">
        <f t="shared" si="0"/>
        <v>3.6852613520222803E-3</v>
      </c>
      <c r="F39" s="46">
        <v>13658</v>
      </c>
      <c r="G39" s="37">
        <f t="shared" si="1"/>
        <v>5.3222809040473574E-3</v>
      </c>
      <c r="H39" s="47">
        <v>0</v>
      </c>
      <c r="I39" s="40">
        <f t="shared" si="2"/>
        <v>0</v>
      </c>
      <c r="J39" s="35"/>
      <c r="K39" s="62"/>
      <c r="L39" s="53">
        <v>0</v>
      </c>
      <c r="M39" s="37">
        <f t="shared" si="3"/>
        <v>0</v>
      </c>
      <c r="N39" s="59">
        <v>247163</v>
      </c>
      <c r="O39" s="42">
        <f t="shared" si="4"/>
        <v>2.9538635913841354E-2</v>
      </c>
      <c r="P39" s="35"/>
      <c r="Q39" s="92">
        <f t="shared" si="5"/>
        <v>0</v>
      </c>
      <c r="R39" s="61"/>
      <c r="S39" s="62"/>
    </row>
    <row r="40" spans="1:19">
      <c r="A40" s="1" t="s">
        <v>1170</v>
      </c>
      <c r="B40" s="35">
        <v>28.2</v>
      </c>
      <c r="C40" s="71">
        <v>1E-4</v>
      </c>
      <c r="D40" s="46">
        <v>43840</v>
      </c>
      <c r="E40" s="37">
        <f t="shared" si="0"/>
        <v>1.7488077770247746E-3</v>
      </c>
      <c r="F40" s="46">
        <v>14</v>
      </c>
      <c r="G40" s="37">
        <f t="shared" si="1"/>
        <v>5.4555522519155804E-6</v>
      </c>
      <c r="H40" s="47">
        <v>0</v>
      </c>
      <c r="I40" s="40">
        <f t="shared" si="2"/>
        <v>0</v>
      </c>
      <c r="J40" s="35"/>
      <c r="K40" s="62"/>
      <c r="L40" s="53">
        <v>1167</v>
      </c>
      <c r="M40" s="37">
        <f t="shared" si="3"/>
        <v>1.8012083376035503E-4</v>
      </c>
      <c r="N40" s="59">
        <v>0</v>
      </c>
      <c r="O40" s="42">
        <f t="shared" si="4"/>
        <v>0</v>
      </c>
      <c r="P40" s="35"/>
      <c r="Q40" s="92">
        <f t="shared" si="5"/>
        <v>0</v>
      </c>
      <c r="R40" s="61"/>
      <c r="S40" s="62"/>
    </row>
    <row r="41" spans="1:19" ht="43">
      <c r="A41" s="1" t="s">
        <v>1171</v>
      </c>
      <c r="B41" s="35">
        <v>264.3</v>
      </c>
      <c r="C41" s="71">
        <v>1.2999999999999999E-3</v>
      </c>
      <c r="D41" s="46">
        <v>79399</v>
      </c>
      <c r="E41" s="37">
        <f t="shared" si="0"/>
        <v>3.1672807638683867E-3</v>
      </c>
      <c r="F41" s="46">
        <v>2159</v>
      </c>
      <c r="G41" s="37">
        <f t="shared" si="1"/>
        <v>8.413240937061242E-4</v>
      </c>
      <c r="H41" s="47">
        <v>0</v>
      </c>
      <c r="I41" s="40">
        <f t="shared" si="2"/>
        <v>0</v>
      </c>
      <c r="J41" s="35"/>
      <c r="K41" s="62"/>
      <c r="L41" s="58">
        <v>83414</v>
      </c>
      <c r="M41" s="37">
        <f t="shared" si="3"/>
        <v>1.2874549466397819E-2</v>
      </c>
      <c r="N41" s="59">
        <v>0</v>
      </c>
      <c r="O41" s="42">
        <f t="shared" si="4"/>
        <v>0</v>
      </c>
      <c r="P41" s="35"/>
      <c r="Q41" s="92">
        <f t="shared" si="5"/>
        <v>0</v>
      </c>
      <c r="R41" s="61"/>
      <c r="S41" s="62"/>
    </row>
    <row r="42" spans="1:19" ht="28.7">
      <c r="A42" s="1" t="s">
        <v>1172</v>
      </c>
      <c r="B42" s="35">
        <v>92.7</v>
      </c>
      <c r="C42" s="71">
        <v>4.0000000000000002E-4</v>
      </c>
      <c r="D42" s="46">
        <v>48910</v>
      </c>
      <c r="E42" s="37">
        <f t="shared" si="0"/>
        <v>1.9510535669316085E-3</v>
      </c>
      <c r="F42" s="46">
        <v>131</v>
      </c>
      <c r="G42" s="37">
        <f t="shared" si="1"/>
        <v>5.1048381785781507E-5</v>
      </c>
      <c r="H42" s="47">
        <v>0</v>
      </c>
      <c r="I42" s="40">
        <f t="shared" si="2"/>
        <v>0</v>
      </c>
      <c r="J42" s="35"/>
      <c r="K42" s="62"/>
      <c r="L42" s="58">
        <v>29825</v>
      </c>
      <c r="M42" s="37">
        <f t="shared" si="3"/>
        <v>4.6033452158548314E-3</v>
      </c>
      <c r="N42" s="59">
        <v>0</v>
      </c>
      <c r="O42" s="42">
        <f t="shared" si="4"/>
        <v>0</v>
      </c>
      <c r="P42" s="35"/>
      <c r="Q42" s="92">
        <f t="shared" si="5"/>
        <v>0</v>
      </c>
      <c r="R42" s="61"/>
      <c r="S42" s="62"/>
    </row>
    <row r="43" spans="1:19">
      <c r="A43" s="1" t="s">
        <v>1173</v>
      </c>
      <c r="B43" s="35">
        <v>88.6</v>
      </c>
      <c r="C43" s="71">
        <v>4.0000000000000002E-4</v>
      </c>
      <c r="D43" s="46">
        <v>24866</v>
      </c>
      <c r="E43" s="37">
        <f t="shared" si="0"/>
        <v>9.9192185637541155E-4</v>
      </c>
      <c r="F43" s="46">
        <v>952</v>
      </c>
      <c r="G43" s="37">
        <f t="shared" si="1"/>
        <v>3.7097755313025951E-4</v>
      </c>
      <c r="H43" s="47">
        <v>0</v>
      </c>
      <c r="I43" s="40">
        <f t="shared" si="2"/>
        <v>0</v>
      </c>
      <c r="J43" s="35"/>
      <c r="K43" s="62"/>
      <c r="L43" s="53">
        <v>0</v>
      </c>
      <c r="M43" s="37">
        <f t="shared" si="3"/>
        <v>0</v>
      </c>
      <c r="N43" s="59">
        <v>36121</v>
      </c>
      <c r="O43" s="42">
        <f t="shared" si="4"/>
        <v>4.3168478609009577E-3</v>
      </c>
      <c r="P43" s="35"/>
      <c r="Q43" s="92">
        <f t="shared" si="5"/>
        <v>0</v>
      </c>
      <c r="R43" s="61"/>
      <c r="S43" s="62"/>
    </row>
    <row r="44" spans="1:19">
      <c r="A44" s="1" t="s">
        <v>436</v>
      </c>
      <c r="B44" s="35">
        <v>325.8</v>
      </c>
      <c r="C44" s="71">
        <v>1.6000000000000001E-3</v>
      </c>
      <c r="D44" s="46">
        <v>62550</v>
      </c>
      <c r="E44" s="37">
        <f t="shared" si="0"/>
        <v>2.4951625559511783E-3</v>
      </c>
      <c r="F44" s="46">
        <v>3544</v>
      </c>
      <c r="G44" s="37">
        <f t="shared" si="1"/>
        <v>1.3810340843420585E-3</v>
      </c>
      <c r="H44" s="47">
        <v>0</v>
      </c>
      <c r="I44" s="40">
        <f t="shared" si="2"/>
        <v>0</v>
      </c>
      <c r="J44" s="35"/>
      <c r="K44" s="62"/>
      <c r="L44" s="58">
        <v>240999</v>
      </c>
      <c r="M44" s="37">
        <f t="shared" si="3"/>
        <v>3.7197035831543955E-2</v>
      </c>
      <c r="N44" s="59">
        <v>0</v>
      </c>
      <c r="O44" s="42">
        <f t="shared" si="4"/>
        <v>0</v>
      </c>
      <c r="P44" s="35"/>
      <c r="Q44" s="92">
        <f t="shared" si="5"/>
        <v>0</v>
      </c>
      <c r="R44" s="61"/>
      <c r="S44" s="62"/>
    </row>
    <row r="45" spans="1:19">
      <c r="A45" s="1" t="s">
        <v>362</v>
      </c>
      <c r="B45" s="35">
        <v>278.39999999999998</v>
      </c>
      <c r="C45" s="71">
        <v>1.2999999999999999E-3</v>
      </c>
      <c r="D45" s="46">
        <v>73491</v>
      </c>
      <c r="E45" s="37">
        <f t="shared" si="0"/>
        <v>2.9316065771288254E-3</v>
      </c>
      <c r="F45" s="46">
        <v>2882</v>
      </c>
      <c r="G45" s="37">
        <f t="shared" si="1"/>
        <v>1.1230643992871932E-3</v>
      </c>
      <c r="H45" s="47">
        <v>109420</v>
      </c>
      <c r="I45" s="40">
        <f t="shared" si="2"/>
        <v>3.6875820623498614E-3</v>
      </c>
      <c r="J45" s="35"/>
      <c r="K45" s="62"/>
      <c r="L45" s="53">
        <v>0</v>
      </c>
      <c r="M45" s="37">
        <f t="shared" si="3"/>
        <v>0</v>
      </c>
      <c r="N45" s="59">
        <v>4018</v>
      </c>
      <c r="O45" s="42">
        <f t="shared" si="4"/>
        <v>4.8019420019102601E-4</v>
      </c>
      <c r="P45" s="35">
        <v>981165500</v>
      </c>
      <c r="Q45" s="92">
        <f t="shared" si="5"/>
        <v>4.0315106672512346E-3</v>
      </c>
      <c r="R45" s="61"/>
      <c r="S45" s="62"/>
    </row>
    <row r="46" spans="1:19" ht="14.7" thickBot="1">
      <c r="A46" s="1" t="s">
        <v>1174</v>
      </c>
      <c r="B46" s="35">
        <v>146.1</v>
      </c>
      <c r="C46" s="71">
        <v>6.9999999999999999E-4</v>
      </c>
      <c r="D46" s="46">
        <v>58753</v>
      </c>
      <c r="E46" s="37">
        <f t="shared" si="0"/>
        <v>2.3436976123069474E-3</v>
      </c>
      <c r="F46" s="46">
        <v>2139</v>
      </c>
      <c r="G46" s="37">
        <f t="shared" si="1"/>
        <v>8.3353044763195914E-4</v>
      </c>
      <c r="H46" s="47">
        <v>30010</v>
      </c>
      <c r="I46" s="40">
        <f t="shared" si="2"/>
        <v>1.0113721229310852E-3</v>
      </c>
      <c r="J46" s="35"/>
      <c r="K46" s="62"/>
      <c r="L46" s="53">
        <v>0</v>
      </c>
      <c r="M46" s="37">
        <f t="shared" si="3"/>
        <v>0</v>
      </c>
      <c r="N46" s="59">
        <v>0</v>
      </c>
      <c r="O46" s="42">
        <f t="shared" si="4"/>
        <v>0</v>
      </c>
      <c r="P46" s="35">
        <v>269710500</v>
      </c>
      <c r="Q46" s="92">
        <f t="shared" si="5"/>
        <v>1.1082134031615094E-3</v>
      </c>
      <c r="R46" s="63"/>
      <c r="S46" s="64"/>
    </row>
    <row r="47" spans="1:19" ht="29" thickBot="1">
      <c r="A47" s="1" t="s">
        <v>1175</v>
      </c>
      <c r="B47" s="35">
        <v>771.7</v>
      </c>
      <c r="C47" s="71">
        <v>3.7000000000000002E-3</v>
      </c>
      <c r="D47" s="46">
        <v>113190</v>
      </c>
      <c r="E47" s="37">
        <f t="shared" si="0"/>
        <v>4.5152270137188465E-3</v>
      </c>
      <c r="F47" s="46">
        <v>8913</v>
      </c>
      <c r="G47" s="37">
        <f t="shared" si="1"/>
        <v>3.4732383729516839E-3</v>
      </c>
      <c r="H47" s="47">
        <v>256110</v>
      </c>
      <c r="I47" s="40">
        <f t="shared" si="2"/>
        <v>8.6312067445478251E-3</v>
      </c>
      <c r="J47" s="35"/>
      <c r="K47" s="62"/>
      <c r="L47" s="53">
        <v>0</v>
      </c>
      <c r="M47" s="37">
        <f t="shared" si="3"/>
        <v>0</v>
      </c>
      <c r="N47" s="59">
        <v>0</v>
      </c>
      <c r="O47" s="42">
        <f t="shared" si="4"/>
        <v>0</v>
      </c>
      <c r="P47" s="35">
        <v>1851369500</v>
      </c>
      <c r="Q47" s="92">
        <f t="shared" si="5"/>
        <v>7.6070916560698311E-3</v>
      </c>
      <c r="R47" s="61"/>
      <c r="S47" s="62"/>
    </row>
    <row r="48" spans="1:19" ht="25.35">
      <c r="A48" s="1" t="s">
        <v>976</v>
      </c>
      <c r="B48" s="35">
        <v>1779.6</v>
      </c>
      <c r="C48" s="71">
        <v>8.5000000000000006E-3</v>
      </c>
      <c r="D48" s="46">
        <v>232492</v>
      </c>
      <c r="E48" s="37">
        <f t="shared" si="0"/>
        <v>9.2742659145995405E-3</v>
      </c>
      <c r="F48" s="46">
        <v>18554</v>
      </c>
      <c r="G48" s="37">
        <f t="shared" si="1"/>
        <v>7.2301654630029773E-3</v>
      </c>
      <c r="H48" s="47">
        <v>360170</v>
      </c>
      <c r="I48" s="40">
        <f t="shared" si="2"/>
        <v>1.2138150533691733E-2</v>
      </c>
      <c r="J48" s="65"/>
      <c r="K48" s="92">
        <v>3.4099999999999998E-3</v>
      </c>
      <c r="L48" s="58">
        <v>76489</v>
      </c>
      <c r="M48" s="37">
        <f t="shared" si="3"/>
        <v>1.1805709043269746E-2</v>
      </c>
      <c r="N48" s="59">
        <v>14157</v>
      </c>
      <c r="O48" s="42">
        <f t="shared" si="4"/>
        <v>1.6919137113251257E-3</v>
      </c>
      <c r="P48" s="35">
        <v>5501052500</v>
      </c>
      <c r="Q48" s="92">
        <f t="shared" si="5"/>
        <v>2.2603273183636269E-2</v>
      </c>
      <c r="R48" s="66" t="s">
        <v>1176</v>
      </c>
      <c r="S48" s="67">
        <v>0.21099999999999999</v>
      </c>
    </row>
    <row r="49" spans="1:19">
      <c r="A49" s="1" t="s">
        <v>1177</v>
      </c>
      <c r="B49" s="35">
        <v>55.9</v>
      </c>
      <c r="C49" s="71">
        <v>2.9999999999999997E-4</v>
      </c>
      <c r="D49" s="46">
        <v>44816</v>
      </c>
      <c r="E49" s="37">
        <f t="shared" si="0"/>
        <v>1.7877410888490488E-3</v>
      </c>
      <c r="F49" s="46">
        <v>21</v>
      </c>
      <c r="G49" s="37">
        <f t="shared" si="1"/>
        <v>8.1833283778733714E-6</v>
      </c>
      <c r="H49" s="47">
        <v>0</v>
      </c>
      <c r="I49" s="40">
        <f t="shared" si="2"/>
        <v>0</v>
      </c>
      <c r="J49" s="35"/>
      <c r="K49" s="62"/>
      <c r="L49" s="58">
        <v>1838</v>
      </c>
      <c r="M49" s="37">
        <f t="shared" si="3"/>
        <v>2.8368645454287275E-4</v>
      </c>
      <c r="N49" s="59">
        <v>0</v>
      </c>
      <c r="O49" s="42">
        <f t="shared" si="4"/>
        <v>0</v>
      </c>
      <c r="P49" s="35"/>
      <c r="Q49" s="92">
        <f t="shared" si="5"/>
        <v>0</v>
      </c>
      <c r="R49" s="61"/>
      <c r="S49" s="62"/>
    </row>
    <row r="50" spans="1:19">
      <c r="A50" s="1" t="s">
        <v>1178</v>
      </c>
      <c r="B50" s="35">
        <v>50.4</v>
      </c>
      <c r="C50" s="71">
        <v>2.0000000000000001E-4</v>
      </c>
      <c r="D50" s="46">
        <v>55617</v>
      </c>
      <c r="E50" s="37">
        <f t="shared" si="0"/>
        <v>2.2186004136584602E-3</v>
      </c>
      <c r="F50" s="46">
        <v>42</v>
      </c>
      <c r="G50" s="37">
        <f t="shared" si="1"/>
        <v>1.6366656755746743E-5</v>
      </c>
      <c r="H50" s="47">
        <v>0</v>
      </c>
      <c r="I50" s="40">
        <f t="shared" si="2"/>
        <v>0</v>
      </c>
      <c r="J50" s="35"/>
      <c r="K50" s="62"/>
      <c r="L50" s="53">
        <v>0</v>
      </c>
      <c r="M50" s="37">
        <f t="shared" si="3"/>
        <v>0</v>
      </c>
      <c r="N50" s="59">
        <v>0</v>
      </c>
      <c r="O50" s="42">
        <f t="shared" si="4"/>
        <v>0</v>
      </c>
      <c r="P50" s="35"/>
      <c r="Q50" s="92">
        <f t="shared" si="5"/>
        <v>0</v>
      </c>
      <c r="R50" s="61"/>
      <c r="S50" s="62"/>
    </row>
    <row r="51" spans="1:19" ht="28.7">
      <c r="A51" s="1" t="s">
        <v>312</v>
      </c>
      <c r="B51" s="35">
        <v>209.2</v>
      </c>
      <c r="C51" s="71">
        <v>1E-3</v>
      </c>
      <c r="D51" s="46">
        <v>27780</v>
      </c>
      <c r="E51" s="37">
        <f t="shared" si="0"/>
        <v>1.1081633222114104E-3</v>
      </c>
      <c r="F51" s="46">
        <v>1187</v>
      </c>
      <c r="G51" s="37">
        <f t="shared" si="1"/>
        <v>4.6255289450169963E-4</v>
      </c>
      <c r="H51" s="47">
        <v>0</v>
      </c>
      <c r="I51" s="40">
        <f t="shared" si="2"/>
        <v>0</v>
      </c>
      <c r="J51" s="35"/>
      <c r="K51" s="62"/>
      <c r="L51" s="53">
        <v>0</v>
      </c>
      <c r="M51" s="37">
        <f t="shared" si="3"/>
        <v>0</v>
      </c>
      <c r="N51" s="59">
        <v>48220</v>
      </c>
      <c r="O51" s="42">
        <f t="shared" si="4"/>
        <v>5.7628084452989725E-3</v>
      </c>
      <c r="P51" s="35"/>
      <c r="Q51" s="92">
        <f t="shared" si="5"/>
        <v>0</v>
      </c>
      <c r="R51" s="61"/>
      <c r="S51" s="62"/>
    </row>
    <row r="52" spans="1:19">
      <c r="A52" s="1" t="s">
        <v>1179</v>
      </c>
      <c r="B52" s="35">
        <v>277.10000000000002</v>
      </c>
      <c r="C52" s="71">
        <v>1.2999999999999999E-3</v>
      </c>
      <c r="D52" s="46">
        <v>50151</v>
      </c>
      <c r="E52" s="37">
        <f t="shared" si="0"/>
        <v>2.0005579111671869E-3</v>
      </c>
      <c r="F52" s="46">
        <v>2161</v>
      </c>
      <c r="G52" s="37">
        <f t="shared" si="1"/>
        <v>8.4210345831354074E-4</v>
      </c>
      <c r="H52" s="47">
        <v>0</v>
      </c>
      <c r="I52" s="40">
        <f t="shared" si="2"/>
        <v>0</v>
      </c>
      <c r="J52" s="35"/>
      <c r="K52" s="62"/>
      <c r="L52" s="53">
        <v>0</v>
      </c>
      <c r="M52" s="37">
        <f t="shared" si="3"/>
        <v>0</v>
      </c>
      <c r="N52" s="59">
        <v>48220</v>
      </c>
      <c r="O52" s="42">
        <f t="shared" si="4"/>
        <v>5.7628084452989725E-3</v>
      </c>
      <c r="P52" s="35"/>
      <c r="Q52" s="92">
        <f t="shared" si="5"/>
        <v>0</v>
      </c>
      <c r="R52" s="61"/>
      <c r="S52" s="62"/>
    </row>
    <row r="53" spans="1:19" ht="28.7">
      <c r="A53" s="1" t="s">
        <v>1180</v>
      </c>
      <c r="B53" s="35">
        <v>1011.9</v>
      </c>
      <c r="C53" s="71">
        <v>4.7999999999999996E-3</v>
      </c>
      <c r="D53" s="46">
        <v>108081</v>
      </c>
      <c r="E53" s="37">
        <f t="shared" si="0"/>
        <v>4.3114254869665754E-3</v>
      </c>
      <c r="F53" s="46">
        <v>13380</v>
      </c>
      <c r="G53" s="37">
        <f t="shared" si="1"/>
        <v>5.213949223616462E-3</v>
      </c>
      <c r="H53" s="47">
        <v>21010</v>
      </c>
      <c r="I53" s="40">
        <f t="shared" si="2"/>
        <v>7.080615895628823E-4</v>
      </c>
      <c r="J53" s="35"/>
      <c r="K53" s="62"/>
      <c r="L53" s="58">
        <v>351035</v>
      </c>
      <c r="M53" s="37">
        <f t="shared" si="3"/>
        <v>5.4180562878377227E-2</v>
      </c>
      <c r="N53" s="59">
        <v>0</v>
      </c>
      <c r="O53" s="42">
        <f t="shared" si="4"/>
        <v>0</v>
      </c>
      <c r="P53" s="35"/>
      <c r="Q53" s="92">
        <f t="shared" si="5"/>
        <v>0</v>
      </c>
      <c r="R53" s="61"/>
      <c r="S53" s="62"/>
    </row>
    <row r="54" spans="1:19">
      <c r="A54" s="1" t="s">
        <v>1181</v>
      </c>
      <c r="B54" s="35">
        <v>14.1</v>
      </c>
      <c r="C54" s="71">
        <v>1E-4</v>
      </c>
      <c r="D54" s="46">
        <v>46464</v>
      </c>
      <c r="E54" s="37">
        <f t="shared" si="0"/>
        <v>1.8534809432408559E-3</v>
      </c>
      <c r="F54" s="46">
        <v>29</v>
      </c>
      <c r="G54" s="37">
        <f t="shared" si="1"/>
        <v>1.1300786807539418E-5</v>
      </c>
      <c r="H54" s="47">
        <v>0</v>
      </c>
      <c r="I54" s="40">
        <f t="shared" si="2"/>
        <v>0</v>
      </c>
      <c r="J54" s="35"/>
      <c r="K54" s="62"/>
      <c r="L54" s="53">
        <v>0</v>
      </c>
      <c r="M54" s="37">
        <f t="shared" si="3"/>
        <v>0</v>
      </c>
      <c r="N54" s="59">
        <v>36121</v>
      </c>
      <c r="O54" s="42">
        <f t="shared" si="4"/>
        <v>4.3168478609009577E-3</v>
      </c>
      <c r="P54" s="35"/>
      <c r="Q54" s="92">
        <f t="shared" si="5"/>
        <v>0</v>
      </c>
      <c r="R54" s="61"/>
      <c r="S54" s="62"/>
    </row>
    <row r="55" spans="1:19" ht="28.7">
      <c r="A55" s="1" t="s">
        <v>1182</v>
      </c>
      <c r="B55" s="35">
        <v>71.5</v>
      </c>
      <c r="C55" s="71">
        <v>2.9999999999999997E-4</v>
      </c>
      <c r="D55" s="46">
        <v>6167</v>
      </c>
      <c r="E55" s="37">
        <f t="shared" si="0"/>
        <v>2.4600587502079799E-4</v>
      </c>
      <c r="F55" s="46">
        <v>43</v>
      </c>
      <c r="G55" s="37">
        <f t="shared" si="1"/>
        <v>1.6756339059454998E-5</v>
      </c>
      <c r="H55" s="47">
        <v>0</v>
      </c>
      <c r="I55" s="40">
        <f t="shared" si="2"/>
        <v>0</v>
      </c>
      <c r="J55" s="35"/>
      <c r="K55" s="62"/>
      <c r="L55" s="58">
        <v>10870</v>
      </c>
      <c r="M55" s="37">
        <f t="shared" si="3"/>
        <v>1.6777321876392966E-3</v>
      </c>
      <c r="N55" s="59">
        <v>0</v>
      </c>
      <c r="O55" s="42">
        <f t="shared" si="4"/>
        <v>0</v>
      </c>
      <c r="P55" s="35"/>
      <c r="Q55" s="92">
        <f t="shared" si="5"/>
        <v>0</v>
      </c>
      <c r="R55" s="61"/>
      <c r="S55" s="62"/>
    </row>
    <row r="56" spans="1:19">
      <c r="A56" s="1" t="s">
        <v>1183</v>
      </c>
      <c r="B56" s="35">
        <v>59.3</v>
      </c>
      <c r="C56" s="71">
        <v>2.9999999999999997E-4</v>
      </c>
      <c r="D56" s="46">
        <v>43969</v>
      </c>
      <c r="E56" s="37">
        <f t="shared" si="0"/>
        <v>1.7539536758212205E-3</v>
      </c>
      <c r="F56" s="46">
        <v>935</v>
      </c>
      <c r="G56" s="37">
        <f t="shared" si="1"/>
        <v>3.6435295396721915E-4</v>
      </c>
      <c r="H56" s="47">
        <v>0</v>
      </c>
      <c r="I56" s="40">
        <f t="shared" si="2"/>
        <v>0</v>
      </c>
      <c r="J56" s="35"/>
      <c r="K56" s="62"/>
      <c r="L56" s="58">
        <v>2628</v>
      </c>
      <c r="M56" s="37">
        <f t="shared" si="3"/>
        <v>4.0561915263257327E-4</v>
      </c>
      <c r="N56" s="59">
        <v>0</v>
      </c>
      <c r="O56" s="42">
        <f t="shared" si="4"/>
        <v>0</v>
      </c>
      <c r="P56" s="35"/>
      <c r="Q56" s="92">
        <f t="shared" si="5"/>
        <v>0</v>
      </c>
      <c r="R56" s="61"/>
      <c r="S56" s="62"/>
    </row>
    <row r="57" spans="1:19" ht="25.35">
      <c r="A57" s="1" t="s">
        <v>1184</v>
      </c>
      <c r="B57" s="35">
        <v>107.8</v>
      </c>
      <c r="C57" s="71">
        <v>5.0000000000000001E-4</v>
      </c>
      <c r="D57" s="46">
        <v>48117</v>
      </c>
      <c r="E57" s="37">
        <f t="shared" si="0"/>
        <v>1.9194202510743859E-3</v>
      </c>
      <c r="F57" s="46">
        <v>1434</v>
      </c>
      <c r="G57" s="37">
        <f t="shared" si="1"/>
        <v>5.588044235176388E-4</v>
      </c>
      <c r="H57" s="47">
        <v>30010</v>
      </c>
      <c r="I57" s="40">
        <f t="shared" si="2"/>
        <v>1.0113721229310852E-3</v>
      </c>
      <c r="J57" s="35"/>
      <c r="K57" s="62"/>
      <c r="L57" s="53">
        <v>0</v>
      </c>
      <c r="M57" s="37">
        <f t="shared" si="3"/>
        <v>0</v>
      </c>
      <c r="N57" s="59">
        <v>0</v>
      </c>
      <c r="O57" s="42">
        <f t="shared" si="4"/>
        <v>0</v>
      </c>
      <c r="P57" s="35">
        <v>173020000</v>
      </c>
      <c r="Q57" s="92">
        <f t="shared" si="5"/>
        <v>7.1092183290974724E-4</v>
      </c>
      <c r="R57" s="68" t="s">
        <v>1185</v>
      </c>
      <c r="S57" s="69">
        <v>8.9999999999999993E-3</v>
      </c>
    </row>
    <row r="58" spans="1:19">
      <c r="A58" s="1" t="s">
        <v>1186</v>
      </c>
      <c r="B58" s="35">
        <v>97.8</v>
      </c>
      <c r="C58" s="71">
        <v>5.0000000000000001E-4</v>
      </c>
      <c r="D58" s="46">
        <v>48923</v>
      </c>
      <c r="E58" s="37">
        <f t="shared" si="0"/>
        <v>1.9515721458800877E-3</v>
      </c>
      <c r="F58" s="46">
        <v>127</v>
      </c>
      <c r="G58" s="37">
        <f t="shared" si="1"/>
        <v>4.9489652570948484E-5</v>
      </c>
      <c r="H58" s="47">
        <v>0</v>
      </c>
      <c r="I58" s="40">
        <f t="shared" si="2"/>
        <v>0</v>
      </c>
      <c r="J58" s="35"/>
      <c r="K58" s="62"/>
      <c r="L58" s="58">
        <v>102606</v>
      </c>
      <c r="M58" s="37">
        <f t="shared" si="3"/>
        <v>1.5836742304040263E-2</v>
      </c>
      <c r="N58" s="59">
        <v>0</v>
      </c>
      <c r="O58" s="42">
        <f t="shared" si="4"/>
        <v>0</v>
      </c>
      <c r="P58" s="35"/>
      <c r="Q58" s="92">
        <f t="shared" si="5"/>
        <v>0</v>
      </c>
      <c r="R58" s="61"/>
      <c r="S58" s="62"/>
    </row>
    <row r="59" spans="1:19">
      <c r="A59" s="1" t="s">
        <v>1187</v>
      </c>
      <c r="B59" s="35">
        <v>98.7</v>
      </c>
      <c r="C59" s="71">
        <v>5.0000000000000001E-4</v>
      </c>
      <c r="D59" s="46">
        <v>19462</v>
      </c>
      <c r="E59" s="37">
        <f t="shared" si="0"/>
        <v>7.7635257656150005E-4</v>
      </c>
      <c r="F59" s="46">
        <v>287</v>
      </c>
      <c r="G59" s="37">
        <f t="shared" si="1"/>
        <v>1.118388211642694E-4</v>
      </c>
      <c r="H59" s="47">
        <v>0</v>
      </c>
      <c r="I59" s="40">
        <f t="shared" si="2"/>
        <v>0</v>
      </c>
      <c r="J59" s="35"/>
      <c r="K59" s="71">
        <v>6.8000000000000005E-4</v>
      </c>
      <c r="L59" s="53">
        <v>0</v>
      </c>
      <c r="M59" s="37">
        <f t="shared" si="3"/>
        <v>0</v>
      </c>
      <c r="N59" s="59">
        <v>0</v>
      </c>
      <c r="O59" s="42">
        <f t="shared" si="4"/>
        <v>0</v>
      </c>
      <c r="P59" s="35"/>
      <c r="Q59" s="92">
        <f t="shared" si="5"/>
        <v>0</v>
      </c>
      <c r="R59" s="61"/>
      <c r="S59" s="62"/>
    </row>
    <row r="60" spans="1:19" ht="25.35">
      <c r="A60" s="1" t="s">
        <v>1188</v>
      </c>
      <c r="B60" s="35">
        <v>1094.5</v>
      </c>
      <c r="C60" s="71">
        <v>5.1999999999999998E-3</v>
      </c>
      <c r="D60" s="46">
        <v>159872</v>
      </c>
      <c r="E60" s="37">
        <f t="shared" si="0"/>
        <v>6.3774041270188127E-3</v>
      </c>
      <c r="F60" s="46">
        <v>15697</v>
      </c>
      <c r="G60" s="37">
        <f t="shared" si="1"/>
        <v>6.1168431213084904E-3</v>
      </c>
      <c r="H60" s="47">
        <v>375180</v>
      </c>
      <c r="I60" s="40">
        <f t="shared" si="2"/>
        <v>1.2644005101009147E-2</v>
      </c>
      <c r="J60" s="35"/>
      <c r="K60" s="92">
        <v>3.4099999999999998E-3</v>
      </c>
      <c r="L60" s="58">
        <v>32280</v>
      </c>
      <c r="M60" s="37">
        <f t="shared" si="3"/>
        <v>4.9822626510576352E-3</v>
      </c>
      <c r="N60" s="59">
        <v>13312</v>
      </c>
      <c r="O60" s="42">
        <f t="shared" si="4"/>
        <v>1.5909271261679786E-3</v>
      </c>
      <c r="P60" s="35">
        <v>3098617500</v>
      </c>
      <c r="Q60" s="92">
        <f t="shared" si="5"/>
        <v>1.2731908638228057E-2</v>
      </c>
      <c r="R60" s="68" t="s">
        <v>1189</v>
      </c>
      <c r="S60" s="69">
        <v>0.17699999999999999</v>
      </c>
    </row>
    <row r="61" spans="1:19" s="101" customFormat="1">
      <c r="A61" s="124" t="s">
        <v>33</v>
      </c>
      <c r="B61" s="125">
        <v>8659.1</v>
      </c>
      <c r="C61" s="126">
        <v>4.1500000000000002E-2</v>
      </c>
      <c r="D61" s="127">
        <v>949781</v>
      </c>
      <c r="E61" s="107">
        <f t="shared" si="0"/>
        <v>3.7887417866568601E-2</v>
      </c>
      <c r="F61" s="127">
        <v>121015</v>
      </c>
      <c r="G61" s="107">
        <f t="shared" si="1"/>
        <v>4.7157403983254575E-2</v>
      </c>
      <c r="H61" s="128">
        <v>2556510</v>
      </c>
      <c r="I61" s="109">
        <f t="shared" si="2"/>
        <v>8.6157379073460466E-2</v>
      </c>
      <c r="J61" s="129"/>
      <c r="K61" s="130">
        <v>2.3300000000000001E-2</v>
      </c>
      <c r="L61" s="131">
        <v>242606</v>
      </c>
      <c r="M61" s="107">
        <f t="shared" si="3"/>
        <v>3.7445068547784656E-2</v>
      </c>
      <c r="N61" s="132">
        <v>158638</v>
      </c>
      <c r="O61" s="114">
        <f t="shared" si="4"/>
        <v>1.8958946622673962E-2</v>
      </c>
      <c r="P61" s="125">
        <v>39195022000</v>
      </c>
      <c r="Q61" s="133">
        <f t="shared" si="5"/>
        <v>0.16104841568129619</v>
      </c>
      <c r="R61" s="125"/>
      <c r="S61" s="134"/>
    </row>
    <row r="62" spans="1:19">
      <c r="A62" s="1" t="s">
        <v>1190</v>
      </c>
      <c r="B62" s="35">
        <v>98.7</v>
      </c>
      <c r="C62" s="71">
        <v>5.0000000000000001E-4</v>
      </c>
      <c r="D62" s="46">
        <v>2093</v>
      </c>
      <c r="E62" s="37">
        <f t="shared" si="0"/>
        <v>8.3491210705128954E-5</v>
      </c>
      <c r="F62" s="46">
        <v>1268</v>
      </c>
      <c r="G62" s="37">
        <f t="shared" si="1"/>
        <v>4.9411716110206829E-4</v>
      </c>
      <c r="H62" s="47">
        <v>0</v>
      </c>
      <c r="I62" s="40">
        <f t="shared" si="2"/>
        <v>0</v>
      </c>
      <c r="J62" s="35"/>
      <c r="K62" s="62"/>
      <c r="L62" s="58">
        <v>77538</v>
      </c>
      <c r="M62" s="37">
        <f t="shared" si="3"/>
        <v>1.1967617144910375E-2</v>
      </c>
      <c r="N62" s="59">
        <v>0</v>
      </c>
      <c r="O62" s="42">
        <f t="shared" si="4"/>
        <v>0</v>
      </c>
      <c r="P62" s="35"/>
      <c r="Q62" s="92">
        <f t="shared" si="5"/>
        <v>0</v>
      </c>
      <c r="R62" s="61"/>
      <c r="S62" s="62"/>
    </row>
    <row r="63" spans="1:19">
      <c r="A63" s="1" t="s">
        <v>1191</v>
      </c>
      <c r="B63" s="35">
        <v>54.3</v>
      </c>
      <c r="C63" s="71">
        <v>2.9999999999999997E-4</v>
      </c>
      <c r="D63" s="46">
        <v>51908</v>
      </c>
      <c r="E63" s="37">
        <f t="shared" si="0"/>
        <v>2.0706458505885491E-3</v>
      </c>
      <c r="F63" s="46">
        <v>94</v>
      </c>
      <c r="G63" s="37">
        <f t="shared" si="1"/>
        <v>3.6630136548576042E-5</v>
      </c>
      <c r="H63" s="47">
        <v>0</v>
      </c>
      <c r="I63" s="40">
        <f t="shared" si="2"/>
        <v>0</v>
      </c>
      <c r="J63" s="35"/>
      <c r="K63" s="62"/>
      <c r="L63" s="58">
        <v>10388</v>
      </c>
      <c r="M63" s="37">
        <f t="shared" si="3"/>
        <v>1.6033378072858337E-3</v>
      </c>
      <c r="N63" s="59">
        <v>0</v>
      </c>
      <c r="O63" s="42">
        <f t="shared" si="4"/>
        <v>0</v>
      </c>
      <c r="P63" s="35"/>
      <c r="Q63" s="92">
        <f t="shared" si="5"/>
        <v>0</v>
      </c>
      <c r="R63" s="61"/>
      <c r="S63" s="62"/>
    </row>
    <row r="64" spans="1:19">
      <c r="A64" s="1" t="s">
        <v>1192</v>
      </c>
      <c r="B64" s="35">
        <v>179.5</v>
      </c>
      <c r="C64" s="71">
        <v>8.9999999999999998E-4</v>
      </c>
      <c r="D64" s="46">
        <v>58401</v>
      </c>
      <c r="E64" s="37">
        <f t="shared" si="0"/>
        <v>2.3296560900096684E-3</v>
      </c>
      <c r="F64" s="46">
        <v>1380</v>
      </c>
      <c r="G64" s="37">
        <f t="shared" si="1"/>
        <v>5.3776157911739292E-4</v>
      </c>
      <c r="H64" s="47">
        <v>30010</v>
      </c>
      <c r="I64" s="40">
        <f t="shared" si="2"/>
        <v>1.0113721229310852E-3</v>
      </c>
      <c r="J64" s="35"/>
      <c r="K64" s="71">
        <v>3.4199999999999999E-3</v>
      </c>
      <c r="L64" s="53">
        <v>0</v>
      </c>
      <c r="M64" s="37">
        <f t="shared" si="3"/>
        <v>0</v>
      </c>
      <c r="N64" s="59">
        <v>0</v>
      </c>
      <c r="O64" s="42">
        <f t="shared" si="4"/>
        <v>0</v>
      </c>
      <c r="P64" s="35"/>
      <c r="Q64" s="92">
        <f t="shared" si="5"/>
        <v>0</v>
      </c>
      <c r="R64" s="61"/>
      <c r="S64" s="62"/>
    </row>
    <row r="65" spans="1:19" s="30" customFormat="1">
      <c r="A65" s="103" t="s">
        <v>75</v>
      </c>
      <c r="B65" s="104">
        <v>9657.4</v>
      </c>
      <c r="C65" s="105">
        <v>4.6199999999999998E-2</v>
      </c>
      <c r="D65" s="106">
        <v>1372879</v>
      </c>
      <c r="E65" s="107">
        <f t="shared" si="0"/>
        <v>5.4765088323768148E-2</v>
      </c>
      <c r="F65" s="106">
        <v>128908</v>
      </c>
      <c r="G65" s="107">
        <f t="shared" si="1"/>
        <v>5.0233166406423835E-2</v>
      </c>
      <c r="H65" s="108">
        <v>2556510</v>
      </c>
      <c r="I65" s="109">
        <f t="shared" si="2"/>
        <v>8.6157379073460466E-2</v>
      </c>
      <c r="J65" s="104"/>
      <c r="K65" s="135">
        <v>4.3310000000000001E-2</v>
      </c>
      <c r="L65" s="112">
        <v>266265</v>
      </c>
      <c r="M65" s="107">
        <f t="shared" si="3"/>
        <v>4.109672133779E-2</v>
      </c>
      <c r="N65" s="113">
        <v>158638</v>
      </c>
      <c r="O65" s="114">
        <f t="shared" si="4"/>
        <v>1.8958946622673962E-2</v>
      </c>
      <c r="P65" s="104">
        <v>39195022000</v>
      </c>
      <c r="Q65" s="116">
        <f t="shared" si="5"/>
        <v>0.16104841568129619</v>
      </c>
      <c r="R65" s="104"/>
      <c r="S65" s="122"/>
    </row>
    <row r="66" spans="1:19">
      <c r="A66" s="1" t="s">
        <v>1193</v>
      </c>
      <c r="B66" s="35">
        <v>152.5</v>
      </c>
      <c r="C66" s="71">
        <v>6.9999999999999999E-4</v>
      </c>
      <c r="D66" s="46">
        <v>81240</v>
      </c>
      <c r="E66" s="37">
        <f t="shared" si="0"/>
        <v>3.2407195211106906E-3</v>
      </c>
      <c r="F66" s="46">
        <v>5546</v>
      </c>
      <c r="G66" s="37">
        <f t="shared" si="1"/>
        <v>2.1611780563659867E-3</v>
      </c>
      <c r="H66" s="47">
        <v>0</v>
      </c>
      <c r="I66" s="40">
        <f t="shared" si="2"/>
        <v>0</v>
      </c>
      <c r="J66" s="35"/>
      <c r="K66" s="62"/>
      <c r="L66" s="58">
        <v>129969</v>
      </c>
      <c r="M66" s="37">
        <f t="shared" si="3"/>
        <v>2.0060089668380104E-2</v>
      </c>
      <c r="N66" s="59">
        <v>0</v>
      </c>
      <c r="O66" s="42">
        <f t="shared" si="4"/>
        <v>0</v>
      </c>
      <c r="P66" s="35"/>
      <c r="Q66" s="92">
        <f t="shared" si="5"/>
        <v>0</v>
      </c>
      <c r="R66" s="61"/>
      <c r="S66" s="62"/>
    </row>
    <row r="67" spans="1:19">
      <c r="A67" s="1" t="s">
        <v>70</v>
      </c>
      <c r="B67" s="35">
        <v>168.4</v>
      </c>
      <c r="C67" s="71">
        <v>8.0000000000000004E-4</v>
      </c>
      <c r="D67" s="46">
        <v>53171</v>
      </c>
      <c r="E67" s="37">
        <f t="shared" si="0"/>
        <v>2.1210277899677073E-3</v>
      </c>
      <c r="F67" s="46">
        <v>6898</v>
      </c>
      <c r="G67" s="37">
        <f t="shared" si="1"/>
        <v>2.6880285309795484E-3</v>
      </c>
      <c r="H67" s="47">
        <v>195080</v>
      </c>
      <c r="I67" s="40">
        <f t="shared" si="2"/>
        <v>6.5744243166076669E-3</v>
      </c>
      <c r="J67" s="35"/>
      <c r="K67" s="62"/>
      <c r="L67" s="53">
        <v>0</v>
      </c>
      <c r="M67" s="37">
        <f t="shared" si="3"/>
        <v>0</v>
      </c>
      <c r="N67" s="59">
        <v>0</v>
      </c>
      <c r="O67" s="42">
        <f t="shared" si="4"/>
        <v>0</v>
      </c>
      <c r="P67" s="35">
        <v>2946995500</v>
      </c>
      <c r="Q67" s="92">
        <f t="shared" si="5"/>
        <v>1.2108909041941838E-2</v>
      </c>
      <c r="R67" s="61"/>
      <c r="S67" s="62"/>
    </row>
    <row r="68" spans="1:19">
      <c r="A68" s="1" t="s">
        <v>1194</v>
      </c>
      <c r="B68" s="35">
        <v>53.1</v>
      </c>
      <c r="C68" s="71">
        <v>2.9999999999999997E-4</v>
      </c>
      <c r="D68" s="46">
        <v>26427</v>
      </c>
      <c r="E68" s="37">
        <f t="shared" ref="E68:E131" si="6">D68/D$195</f>
        <v>1.0541912208812435E-3</v>
      </c>
      <c r="F68" s="46">
        <v>74</v>
      </c>
      <c r="G68" s="37">
        <f t="shared" ref="G68:G131" si="7">F68/F$195</f>
        <v>2.8836490474410926E-5</v>
      </c>
      <c r="H68" s="47">
        <v>0</v>
      </c>
      <c r="I68" s="40">
        <f t="shared" ref="I68:I131" si="8">H68/H$195</f>
        <v>0</v>
      </c>
      <c r="J68" s="35"/>
      <c r="K68" s="62"/>
      <c r="L68" s="53">
        <v>0</v>
      </c>
      <c r="M68" s="37">
        <f t="shared" ref="M68:M131" si="9">L68/L$195</f>
        <v>0</v>
      </c>
      <c r="N68" s="59">
        <v>0</v>
      </c>
      <c r="O68" s="42">
        <f t="shared" ref="O68:O131" si="10">N68/N$195</f>
        <v>0</v>
      </c>
      <c r="P68" s="35"/>
      <c r="Q68" s="92">
        <f t="shared" ref="Q68:Q131" si="11">P68/P$195</f>
        <v>0</v>
      </c>
      <c r="R68" s="61"/>
      <c r="S68" s="62"/>
    </row>
    <row r="69" spans="1:19">
      <c r="A69" s="1" t="s">
        <v>1195</v>
      </c>
      <c r="B69" s="35">
        <v>200.1</v>
      </c>
      <c r="C69" s="71">
        <v>1E-3</v>
      </c>
      <c r="D69" s="46">
        <v>37396</v>
      </c>
      <c r="E69" s="37">
        <f t="shared" si="6"/>
        <v>1.491752181332538E-3</v>
      </c>
      <c r="F69" s="46">
        <v>1084</v>
      </c>
      <c r="G69" s="37">
        <f t="shared" si="7"/>
        <v>4.2241561721974926E-4</v>
      </c>
      <c r="H69" s="47">
        <v>0</v>
      </c>
      <c r="I69" s="40">
        <f t="shared" si="8"/>
        <v>0</v>
      </c>
      <c r="J69" s="35"/>
      <c r="K69" s="62"/>
      <c r="L69" s="53">
        <v>0</v>
      </c>
      <c r="M69" s="37">
        <f t="shared" si="9"/>
        <v>0</v>
      </c>
      <c r="N69" s="59">
        <v>48220</v>
      </c>
      <c r="O69" s="42">
        <f t="shared" si="10"/>
        <v>5.7628084452989725E-3</v>
      </c>
      <c r="P69" s="35"/>
      <c r="Q69" s="92">
        <f t="shared" si="11"/>
        <v>0</v>
      </c>
      <c r="R69" s="61"/>
      <c r="S69" s="62"/>
    </row>
    <row r="70" spans="1:19">
      <c r="A70" s="1" t="s">
        <v>1196</v>
      </c>
      <c r="B70" s="35">
        <v>129.19999999999999</v>
      </c>
      <c r="C70" s="71">
        <v>5.9999999999999995E-4</v>
      </c>
      <c r="D70" s="46">
        <v>33987</v>
      </c>
      <c r="E70" s="37">
        <f t="shared" si="6"/>
        <v>1.3557648247659903E-3</v>
      </c>
      <c r="F70" s="46">
        <v>339</v>
      </c>
      <c r="G70" s="37">
        <f t="shared" si="7"/>
        <v>1.321023009570987E-4</v>
      </c>
      <c r="H70" s="47">
        <v>0</v>
      </c>
      <c r="I70" s="40">
        <f t="shared" si="8"/>
        <v>0</v>
      </c>
      <c r="J70" s="35"/>
      <c r="K70" s="62"/>
      <c r="L70" s="58">
        <v>26630</v>
      </c>
      <c r="M70" s="37">
        <f t="shared" si="9"/>
        <v>4.1102123419350933E-3</v>
      </c>
      <c r="N70" s="59">
        <v>0</v>
      </c>
      <c r="O70" s="42">
        <f t="shared" si="10"/>
        <v>0</v>
      </c>
      <c r="P70" s="35"/>
      <c r="Q70" s="92">
        <f t="shared" si="11"/>
        <v>0</v>
      </c>
      <c r="R70" s="61"/>
      <c r="S70" s="62"/>
    </row>
    <row r="71" spans="1:19" ht="28.7">
      <c r="A71" s="1" t="s">
        <v>1197</v>
      </c>
      <c r="B71" s="35">
        <v>54</v>
      </c>
      <c r="C71" s="71">
        <v>2.9999999999999997E-4</v>
      </c>
      <c r="D71" s="46">
        <v>44500</v>
      </c>
      <c r="E71" s="37">
        <f t="shared" si="6"/>
        <v>1.7751356313321731E-3</v>
      </c>
      <c r="F71" s="46">
        <v>18</v>
      </c>
      <c r="G71" s="37">
        <f t="shared" si="7"/>
        <v>7.0142814667486037E-6</v>
      </c>
      <c r="H71" s="47">
        <v>0</v>
      </c>
      <c r="I71" s="40">
        <f t="shared" si="8"/>
        <v>0</v>
      </c>
      <c r="J71" s="35"/>
      <c r="K71" s="62"/>
      <c r="L71" s="58">
        <v>2083</v>
      </c>
      <c r="M71" s="37">
        <f t="shared" si="9"/>
        <v>3.2150102546942548E-4</v>
      </c>
      <c r="N71" s="59">
        <v>0</v>
      </c>
      <c r="O71" s="42">
        <f t="shared" si="10"/>
        <v>0</v>
      </c>
      <c r="P71" s="35"/>
      <c r="Q71" s="92">
        <f t="shared" si="11"/>
        <v>0</v>
      </c>
      <c r="R71" s="61"/>
      <c r="S71" s="62"/>
    </row>
    <row r="72" spans="1:19">
      <c r="A72" s="1" t="s">
        <v>1198</v>
      </c>
      <c r="B72" s="35">
        <v>145.6</v>
      </c>
      <c r="C72" s="71">
        <v>6.9999999999999999E-4</v>
      </c>
      <c r="D72" s="46">
        <v>60035</v>
      </c>
      <c r="E72" s="37">
        <f t="shared" si="6"/>
        <v>2.394837474764652E-3</v>
      </c>
      <c r="F72" s="46">
        <v>1392</v>
      </c>
      <c r="G72" s="37">
        <f t="shared" si="7"/>
        <v>5.4243776676189204E-4</v>
      </c>
      <c r="H72" s="47">
        <v>0</v>
      </c>
      <c r="I72" s="40">
        <f t="shared" si="8"/>
        <v>0</v>
      </c>
      <c r="J72" s="35"/>
      <c r="K72" s="62"/>
      <c r="L72" s="53">
        <v>0</v>
      </c>
      <c r="M72" s="37">
        <f t="shared" si="9"/>
        <v>0</v>
      </c>
      <c r="N72" s="59">
        <v>13393</v>
      </c>
      <c r="O72" s="42">
        <f t="shared" si="10"/>
        <v>1.6006074970528648E-3</v>
      </c>
      <c r="P72" s="35"/>
      <c r="Q72" s="92">
        <f t="shared" si="11"/>
        <v>0</v>
      </c>
      <c r="R72" s="61"/>
      <c r="S72" s="62"/>
    </row>
    <row r="73" spans="1:19">
      <c r="A73" s="1" t="s">
        <v>1199</v>
      </c>
      <c r="B73" s="35">
        <v>106.7</v>
      </c>
      <c r="C73" s="71">
        <v>5.0000000000000001E-4</v>
      </c>
      <c r="D73" s="46">
        <v>52038</v>
      </c>
      <c r="E73" s="37">
        <f t="shared" si="6"/>
        <v>2.07583164007334E-3</v>
      </c>
      <c r="F73" s="46">
        <v>822</v>
      </c>
      <c r="G73" s="37">
        <f t="shared" si="7"/>
        <v>3.2031885364818626E-4</v>
      </c>
      <c r="H73" s="47">
        <v>0</v>
      </c>
      <c r="I73" s="40">
        <f t="shared" si="8"/>
        <v>0</v>
      </c>
      <c r="J73" s="35"/>
      <c r="K73" s="62"/>
      <c r="L73" s="53">
        <v>0</v>
      </c>
      <c r="M73" s="37">
        <f t="shared" si="9"/>
        <v>0</v>
      </c>
      <c r="N73" s="59">
        <v>36121</v>
      </c>
      <c r="O73" s="42">
        <f t="shared" si="10"/>
        <v>4.3168478609009577E-3</v>
      </c>
      <c r="P73" s="35"/>
      <c r="Q73" s="92">
        <f t="shared" si="11"/>
        <v>0</v>
      </c>
      <c r="R73" s="61"/>
      <c r="S73" s="62"/>
    </row>
    <row r="74" spans="1:19">
      <c r="A74" s="1" t="s">
        <v>1200</v>
      </c>
      <c r="B74" s="35">
        <v>64.099999999999994</v>
      </c>
      <c r="C74" s="71">
        <v>2.9999999999999997E-4</v>
      </c>
      <c r="D74" s="46">
        <v>52855</v>
      </c>
      <c r="E74" s="37">
        <f t="shared" si="6"/>
        <v>2.1084223324508316E-3</v>
      </c>
      <c r="F74" s="46">
        <v>495</v>
      </c>
      <c r="G74" s="37">
        <f t="shared" si="7"/>
        <v>1.928927403355866E-4</v>
      </c>
      <c r="H74" s="47">
        <v>0</v>
      </c>
      <c r="I74" s="40">
        <f t="shared" si="8"/>
        <v>0</v>
      </c>
      <c r="J74" s="35"/>
      <c r="K74" s="62"/>
      <c r="L74" s="53">
        <v>0</v>
      </c>
      <c r="M74" s="37">
        <f t="shared" si="9"/>
        <v>0</v>
      </c>
      <c r="N74" s="59">
        <v>36121</v>
      </c>
      <c r="O74" s="42">
        <f t="shared" si="10"/>
        <v>4.3168478609009577E-3</v>
      </c>
      <c r="P74" s="35"/>
      <c r="Q74" s="92">
        <f t="shared" si="11"/>
        <v>0</v>
      </c>
      <c r="R74" s="61"/>
      <c r="S74" s="62"/>
    </row>
    <row r="75" spans="1:19">
      <c r="A75" s="1" t="s">
        <v>1201</v>
      </c>
      <c r="B75" s="35">
        <v>1033.7</v>
      </c>
      <c r="C75" s="71">
        <v>4.8999999999999998E-3</v>
      </c>
      <c r="D75" s="46">
        <v>175434</v>
      </c>
      <c r="E75" s="37">
        <f t="shared" si="6"/>
        <v>6.9981830190365942E-3</v>
      </c>
      <c r="F75" s="46">
        <v>11771</v>
      </c>
      <c r="G75" s="37">
        <f t="shared" si="7"/>
        <v>4.5869503969498786E-3</v>
      </c>
      <c r="H75" s="47">
        <v>237110</v>
      </c>
      <c r="I75" s="40">
        <f t="shared" si="8"/>
        <v>7.9908845074371741E-3</v>
      </c>
      <c r="J75" s="35"/>
      <c r="K75" s="62"/>
      <c r="L75" s="53">
        <v>0</v>
      </c>
      <c r="M75" s="37">
        <f t="shared" si="9"/>
        <v>0</v>
      </c>
      <c r="N75" s="59">
        <v>0</v>
      </c>
      <c r="O75" s="42">
        <f t="shared" si="10"/>
        <v>0</v>
      </c>
      <c r="P75" s="35">
        <v>1751480000</v>
      </c>
      <c r="Q75" s="92">
        <f t="shared" si="11"/>
        <v>7.1966557155517513E-3</v>
      </c>
      <c r="R75" s="61"/>
      <c r="S75" s="62"/>
    </row>
    <row r="76" spans="1:19" ht="25.35">
      <c r="A76" s="1" t="s">
        <v>1202</v>
      </c>
      <c r="B76" s="35">
        <v>150</v>
      </c>
      <c r="C76" s="71">
        <v>6.9999999999999999E-4</v>
      </c>
      <c r="D76" s="46">
        <v>58893</v>
      </c>
      <c r="E76" s="37">
        <f t="shared" si="6"/>
        <v>2.3492823086751838E-3</v>
      </c>
      <c r="F76" s="46">
        <v>42</v>
      </c>
      <c r="G76" s="37">
        <f t="shared" si="7"/>
        <v>1.6366656755746743E-5</v>
      </c>
      <c r="H76" s="47">
        <v>30010</v>
      </c>
      <c r="I76" s="40">
        <f t="shared" si="8"/>
        <v>1.0113721229310852E-3</v>
      </c>
      <c r="J76" s="35"/>
      <c r="K76" s="62"/>
      <c r="L76" s="53">
        <v>0</v>
      </c>
      <c r="M76" s="37">
        <f t="shared" si="9"/>
        <v>0</v>
      </c>
      <c r="N76" s="59">
        <v>0</v>
      </c>
      <c r="O76" s="42">
        <f t="shared" si="10"/>
        <v>0</v>
      </c>
      <c r="P76" s="35"/>
      <c r="Q76" s="92">
        <f t="shared" si="11"/>
        <v>0</v>
      </c>
      <c r="R76" s="68" t="s">
        <v>1203</v>
      </c>
      <c r="S76" s="69">
        <v>8.9999999999999993E-3</v>
      </c>
    </row>
    <row r="77" spans="1:19" s="30" customFormat="1">
      <c r="A77" s="103" t="s">
        <v>65</v>
      </c>
      <c r="B77" s="104">
        <v>6704</v>
      </c>
      <c r="C77" s="105">
        <v>3.2099999999999997E-2</v>
      </c>
      <c r="D77" s="106">
        <v>743566</v>
      </c>
      <c r="E77" s="107">
        <f t="shared" si="6"/>
        <v>2.966135956959862E-2</v>
      </c>
      <c r="F77" s="106">
        <v>102947</v>
      </c>
      <c r="G77" s="107">
        <f t="shared" si="7"/>
        <v>4.0116624119853804E-2</v>
      </c>
      <c r="H77" s="108">
        <v>0</v>
      </c>
      <c r="I77" s="109">
        <f t="shared" si="8"/>
        <v>0</v>
      </c>
      <c r="J77" s="104"/>
      <c r="K77" s="105">
        <v>6.3380000000000006E-2</v>
      </c>
      <c r="L77" s="112">
        <v>16719</v>
      </c>
      <c r="M77" s="107">
        <f t="shared" si="9"/>
        <v>2.5804971890654462E-3</v>
      </c>
      <c r="N77" s="113">
        <v>0</v>
      </c>
      <c r="O77" s="114">
        <f t="shared" si="10"/>
        <v>0</v>
      </c>
      <c r="P77" s="104"/>
      <c r="Q77" s="116">
        <f t="shared" si="11"/>
        <v>0</v>
      </c>
      <c r="R77" s="104"/>
      <c r="S77" s="122"/>
    </row>
    <row r="78" spans="1:19" s="30" customFormat="1">
      <c r="A78" s="103" t="s">
        <v>85</v>
      </c>
      <c r="B78" s="104">
        <v>2106.4</v>
      </c>
      <c r="C78" s="105">
        <v>1.01E-2</v>
      </c>
      <c r="D78" s="106">
        <v>203606</v>
      </c>
      <c r="E78" s="107">
        <f t="shared" si="6"/>
        <v>8.1219834910790656E-3</v>
      </c>
      <c r="F78" s="106">
        <v>31602</v>
      </c>
      <c r="G78" s="107">
        <f t="shared" si="7"/>
        <v>1.2314740161788299E-2</v>
      </c>
      <c r="H78" s="108">
        <v>0</v>
      </c>
      <c r="I78" s="109">
        <f t="shared" si="8"/>
        <v>0</v>
      </c>
      <c r="J78" s="104"/>
      <c r="K78" s="105">
        <v>5.4519999999999999E-2</v>
      </c>
      <c r="L78" s="119">
        <v>0</v>
      </c>
      <c r="M78" s="107">
        <f t="shared" si="9"/>
        <v>0</v>
      </c>
      <c r="N78" s="113">
        <v>0</v>
      </c>
      <c r="O78" s="114">
        <f t="shared" si="10"/>
        <v>0</v>
      </c>
      <c r="P78" s="104"/>
      <c r="Q78" s="116">
        <f t="shared" si="11"/>
        <v>0</v>
      </c>
      <c r="R78" s="104"/>
      <c r="S78" s="122"/>
    </row>
    <row r="79" spans="1:19" ht="28.7">
      <c r="A79" s="1" t="s">
        <v>1204</v>
      </c>
      <c r="B79" s="35">
        <v>3406.8</v>
      </c>
      <c r="C79" s="71">
        <v>1.6299999999999999E-2</v>
      </c>
      <c r="D79" s="46">
        <v>113182</v>
      </c>
      <c r="E79" s="37">
        <f t="shared" si="6"/>
        <v>4.5149078882120901E-3</v>
      </c>
      <c r="F79" s="46">
        <v>1444</v>
      </c>
      <c r="G79" s="37">
        <f t="shared" si="7"/>
        <v>5.6270124655472128E-4</v>
      </c>
      <c r="H79" s="47">
        <v>0</v>
      </c>
      <c r="I79" s="40">
        <f t="shared" si="8"/>
        <v>0</v>
      </c>
      <c r="J79" s="35"/>
      <c r="K79" s="62"/>
      <c r="L79" s="53">
        <v>0</v>
      </c>
      <c r="M79" s="37">
        <f t="shared" si="9"/>
        <v>0</v>
      </c>
      <c r="N79" s="59">
        <v>0</v>
      </c>
      <c r="O79" s="42">
        <f t="shared" si="10"/>
        <v>0</v>
      </c>
      <c r="P79" s="35"/>
      <c r="Q79" s="92">
        <f t="shared" si="11"/>
        <v>0</v>
      </c>
      <c r="R79" s="61"/>
      <c r="S79" s="62"/>
    </row>
    <row r="80" spans="1:19">
      <c r="A80" s="1" t="s">
        <v>1205</v>
      </c>
      <c r="B80" s="35">
        <v>280.8</v>
      </c>
      <c r="C80" s="71">
        <v>1.2999999999999999E-3</v>
      </c>
      <c r="D80" s="46">
        <v>59301</v>
      </c>
      <c r="E80" s="37">
        <f t="shared" si="6"/>
        <v>2.3655577095197571E-3</v>
      </c>
      <c r="F80" s="46">
        <v>147</v>
      </c>
      <c r="G80" s="37">
        <f t="shared" si="7"/>
        <v>5.7283298645113597E-5</v>
      </c>
      <c r="H80" s="47">
        <v>0</v>
      </c>
      <c r="I80" s="40">
        <f t="shared" si="8"/>
        <v>0</v>
      </c>
      <c r="J80" s="35"/>
      <c r="K80" s="62"/>
      <c r="L80" s="53">
        <v>0</v>
      </c>
      <c r="M80" s="37">
        <f t="shared" si="9"/>
        <v>0</v>
      </c>
      <c r="N80" s="59">
        <v>0</v>
      </c>
      <c r="O80" s="42">
        <f t="shared" si="10"/>
        <v>0</v>
      </c>
      <c r="P80" s="35"/>
      <c r="Q80" s="92">
        <f t="shared" si="11"/>
        <v>0</v>
      </c>
      <c r="R80" s="61"/>
      <c r="S80" s="62"/>
    </row>
    <row r="81" spans="1:19">
      <c r="A81" s="1" t="s">
        <v>1206</v>
      </c>
      <c r="B81" s="35">
        <v>697</v>
      </c>
      <c r="C81" s="71">
        <v>3.3E-3</v>
      </c>
      <c r="D81" s="46">
        <v>93310</v>
      </c>
      <c r="E81" s="37">
        <f t="shared" si="6"/>
        <v>3.7222001294293272E-3</v>
      </c>
      <c r="F81" s="46">
        <v>1290</v>
      </c>
      <c r="G81" s="37">
        <f t="shared" si="7"/>
        <v>5.0269017178364999E-4</v>
      </c>
      <c r="H81" s="47">
        <v>90040</v>
      </c>
      <c r="I81" s="40">
        <f t="shared" si="8"/>
        <v>3.0344533804969979E-3</v>
      </c>
      <c r="J81" s="35"/>
      <c r="K81" s="92">
        <v>3.4099999999999998E-3</v>
      </c>
      <c r="L81" s="53">
        <v>0</v>
      </c>
      <c r="M81" s="37">
        <f t="shared" si="9"/>
        <v>0</v>
      </c>
      <c r="N81" s="59">
        <v>0</v>
      </c>
      <c r="O81" s="42">
        <f t="shared" si="10"/>
        <v>0</v>
      </c>
      <c r="P81" s="35">
        <v>1375262000</v>
      </c>
      <c r="Q81" s="92">
        <f t="shared" si="11"/>
        <v>5.6508136733968602E-3</v>
      </c>
      <c r="R81" s="61"/>
      <c r="S81" s="62"/>
    </row>
    <row r="82" spans="1:19">
      <c r="A82" s="1" t="s">
        <v>224</v>
      </c>
      <c r="B82" s="35">
        <v>601.9</v>
      </c>
      <c r="C82" s="71">
        <v>2.8999999999999998E-3</v>
      </c>
      <c r="D82" s="46">
        <v>67473</v>
      </c>
      <c r="E82" s="37">
        <f t="shared" si="6"/>
        <v>2.6915444146713642E-3</v>
      </c>
      <c r="F82" s="46">
        <v>2135</v>
      </c>
      <c r="G82" s="37">
        <f t="shared" si="7"/>
        <v>8.3197171841712606E-4</v>
      </c>
      <c r="H82" s="47">
        <v>195080</v>
      </c>
      <c r="I82" s="40">
        <f t="shared" si="8"/>
        <v>6.5744243166076669E-3</v>
      </c>
      <c r="J82" s="35"/>
      <c r="K82" s="62"/>
      <c r="L82" s="53">
        <v>0</v>
      </c>
      <c r="M82" s="37">
        <f t="shared" si="9"/>
        <v>0</v>
      </c>
      <c r="N82" s="59">
        <v>13126</v>
      </c>
      <c r="O82" s="42">
        <f t="shared" si="10"/>
        <v>1.5686981263582397E-3</v>
      </c>
      <c r="P82" s="35"/>
      <c r="Q82" s="92">
        <f t="shared" si="11"/>
        <v>0</v>
      </c>
      <c r="R82" s="61"/>
      <c r="S82" s="62"/>
    </row>
    <row r="83" spans="1:19" s="30" customFormat="1">
      <c r="A83" s="103" t="s">
        <v>86</v>
      </c>
      <c r="B83" s="104">
        <v>5422.7</v>
      </c>
      <c r="C83" s="105">
        <v>2.5999999999999999E-2</v>
      </c>
      <c r="D83" s="106">
        <v>573858</v>
      </c>
      <c r="E83" s="107">
        <f t="shared" si="6"/>
        <v>2.2891590632022882E-2</v>
      </c>
      <c r="F83" s="106">
        <v>81342</v>
      </c>
      <c r="G83" s="107">
        <f t="shared" si="7"/>
        <v>3.1697537948236938E-2</v>
      </c>
      <c r="H83" s="108">
        <v>2556510</v>
      </c>
      <c r="I83" s="109">
        <f t="shared" si="8"/>
        <v>8.6157379073460466E-2</v>
      </c>
      <c r="J83" s="104"/>
      <c r="K83" s="135">
        <v>1.8089999999999998E-2</v>
      </c>
      <c r="L83" s="112">
        <v>156988</v>
      </c>
      <c r="M83" s="107">
        <f t="shared" si="9"/>
        <v>2.4230342288235316E-2</v>
      </c>
      <c r="N83" s="113">
        <v>158638</v>
      </c>
      <c r="O83" s="114">
        <f t="shared" si="10"/>
        <v>1.8958946622673962E-2</v>
      </c>
      <c r="P83" s="104">
        <v>39195022000</v>
      </c>
      <c r="Q83" s="116">
        <f t="shared" si="11"/>
        <v>0.16104841568129619</v>
      </c>
      <c r="R83" s="104"/>
      <c r="S83" s="122"/>
    </row>
    <row r="84" spans="1:19">
      <c r="A84" s="1" t="s">
        <v>1207</v>
      </c>
      <c r="B84" s="35">
        <v>271.5</v>
      </c>
      <c r="C84" s="71">
        <v>1.2999999999999999E-3</v>
      </c>
      <c r="D84" s="46">
        <v>0</v>
      </c>
      <c r="E84" s="37">
        <f t="shared" si="6"/>
        <v>0</v>
      </c>
      <c r="F84" s="46">
        <v>4282</v>
      </c>
      <c r="G84" s="37">
        <f t="shared" si="7"/>
        <v>1.6686196244787511E-3</v>
      </c>
      <c r="H84" s="47">
        <v>0</v>
      </c>
      <c r="I84" s="40">
        <f t="shared" si="8"/>
        <v>0</v>
      </c>
      <c r="J84" s="35"/>
      <c r="K84" s="62"/>
      <c r="L84" s="53">
        <v>0</v>
      </c>
      <c r="M84" s="37">
        <f t="shared" si="9"/>
        <v>0</v>
      </c>
      <c r="N84" s="59">
        <v>48220</v>
      </c>
      <c r="O84" s="42">
        <f t="shared" si="10"/>
        <v>5.7628084452989725E-3</v>
      </c>
      <c r="P84" s="35"/>
      <c r="Q84" s="92">
        <f t="shared" si="11"/>
        <v>0</v>
      </c>
      <c r="R84" s="61"/>
      <c r="S84" s="62"/>
    </row>
    <row r="85" spans="1:19" s="30" customFormat="1">
      <c r="A85" s="103" t="s">
        <v>160</v>
      </c>
      <c r="B85" s="104">
        <v>16544.400000000001</v>
      </c>
      <c r="C85" s="105">
        <v>7.9200000000000007E-2</v>
      </c>
      <c r="D85" s="106">
        <v>2123311</v>
      </c>
      <c r="E85" s="107">
        <f t="shared" si="6"/>
        <v>8.4700337359540398E-2</v>
      </c>
      <c r="F85" s="106">
        <v>162534</v>
      </c>
      <c r="G85" s="107">
        <f t="shared" si="7"/>
        <v>6.333662355091764E-2</v>
      </c>
      <c r="H85" s="108">
        <v>2556510</v>
      </c>
      <c r="I85" s="109">
        <f t="shared" si="8"/>
        <v>8.6157379073460466E-2</v>
      </c>
      <c r="J85" s="104"/>
      <c r="K85" s="135">
        <v>0.15642</v>
      </c>
      <c r="L85" s="112">
        <v>354493</v>
      </c>
      <c r="M85" s="107">
        <f t="shared" si="9"/>
        <v>5.4714288536597711E-2</v>
      </c>
      <c r="N85" s="113">
        <v>418642</v>
      </c>
      <c r="O85" s="114">
        <f t="shared" si="10"/>
        <v>5.0032220098648952E-2</v>
      </c>
      <c r="P85" s="104"/>
      <c r="Q85" s="116">
        <f t="shared" si="11"/>
        <v>0</v>
      </c>
      <c r="R85" s="104"/>
      <c r="S85" s="122"/>
    </row>
    <row r="86" spans="1:19">
      <c r="A86" s="1" t="s">
        <v>1208</v>
      </c>
      <c r="B86" s="35">
        <v>138.80000000000001</v>
      </c>
      <c r="C86" s="71">
        <v>6.9999999999999999E-4</v>
      </c>
      <c r="D86" s="46">
        <v>24865</v>
      </c>
      <c r="E86" s="37">
        <f t="shared" si="6"/>
        <v>9.91881965687067E-4</v>
      </c>
      <c r="F86" s="46">
        <v>941</v>
      </c>
      <c r="G86" s="37">
        <f t="shared" si="7"/>
        <v>3.6669104778946866E-4</v>
      </c>
      <c r="H86" s="47">
        <v>9860</v>
      </c>
      <c r="I86" s="40">
        <f t="shared" si="8"/>
        <v>3.3229353989005329E-4</v>
      </c>
      <c r="J86" s="35"/>
      <c r="K86" s="62"/>
      <c r="L86" s="53">
        <v>0</v>
      </c>
      <c r="M86" s="37">
        <f t="shared" si="9"/>
        <v>0</v>
      </c>
      <c r="N86" s="59">
        <v>0</v>
      </c>
      <c r="O86" s="42">
        <f t="shared" si="10"/>
        <v>0</v>
      </c>
      <c r="P86" s="35"/>
      <c r="Q86" s="92">
        <f t="shared" si="11"/>
        <v>0</v>
      </c>
      <c r="R86" s="61"/>
      <c r="S86" s="62"/>
    </row>
    <row r="87" spans="1:19">
      <c r="A87" s="1" t="s">
        <v>39</v>
      </c>
      <c r="B87" s="35">
        <v>298.5</v>
      </c>
      <c r="C87" s="71">
        <v>1.4E-3</v>
      </c>
      <c r="D87" s="46">
        <v>23093</v>
      </c>
      <c r="E87" s="37">
        <f t="shared" si="6"/>
        <v>9.2119566594053642E-4</v>
      </c>
      <c r="F87" s="46">
        <v>4637</v>
      </c>
      <c r="G87" s="37">
        <f t="shared" si="7"/>
        <v>1.8069568422951819E-3</v>
      </c>
      <c r="H87" s="47">
        <v>69020</v>
      </c>
      <c r="I87" s="40">
        <f t="shared" si="8"/>
        <v>2.3260547792303731E-3</v>
      </c>
      <c r="J87" s="35"/>
      <c r="K87" s="71">
        <v>8.0700000000000008E-3</v>
      </c>
      <c r="L87" s="53">
        <v>0</v>
      </c>
      <c r="M87" s="37">
        <f t="shared" si="9"/>
        <v>0</v>
      </c>
      <c r="N87" s="59">
        <v>0</v>
      </c>
      <c r="O87" s="42">
        <f t="shared" si="10"/>
        <v>0</v>
      </c>
      <c r="P87" s="35"/>
      <c r="Q87" s="92">
        <f t="shared" si="11"/>
        <v>0</v>
      </c>
      <c r="R87" s="61"/>
      <c r="S87" s="62"/>
    </row>
    <row r="88" spans="1:19">
      <c r="A88" s="1" t="s">
        <v>1209</v>
      </c>
      <c r="B88" s="35">
        <v>271.10000000000002</v>
      </c>
      <c r="C88" s="71">
        <v>1.2999999999999999E-3</v>
      </c>
      <c r="D88" s="46">
        <v>72127</v>
      </c>
      <c r="E88" s="37">
        <f t="shared" si="6"/>
        <v>2.8771956782268687E-3</v>
      </c>
      <c r="F88" s="46">
        <v>4041</v>
      </c>
      <c r="G88" s="37">
        <f t="shared" si="7"/>
        <v>1.5747061892850615E-3</v>
      </c>
      <c r="H88" s="47">
        <v>0</v>
      </c>
      <c r="I88" s="40">
        <f t="shared" si="8"/>
        <v>0</v>
      </c>
      <c r="J88" s="35"/>
      <c r="K88" s="62"/>
      <c r="L88" s="58">
        <v>93601</v>
      </c>
      <c r="M88" s="37">
        <f t="shared" si="9"/>
        <v>1.4446863891005133E-2</v>
      </c>
      <c r="N88" s="59">
        <v>0</v>
      </c>
      <c r="O88" s="42">
        <f t="shared" si="10"/>
        <v>0</v>
      </c>
      <c r="P88" s="35"/>
      <c r="Q88" s="92">
        <f t="shared" si="11"/>
        <v>0</v>
      </c>
      <c r="R88" s="61"/>
      <c r="S88" s="62"/>
    </row>
    <row r="89" spans="1:19">
      <c r="A89" s="1" t="s">
        <v>1210</v>
      </c>
      <c r="B89" s="35">
        <v>46.5</v>
      </c>
      <c r="C89" s="71">
        <v>2.0000000000000001E-4</v>
      </c>
      <c r="D89" s="46">
        <v>43592</v>
      </c>
      <c r="E89" s="37">
        <f t="shared" si="6"/>
        <v>1.7389148863153278E-3</v>
      </c>
      <c r="F89" s="46">
        <v>12</v>
      </c>
      <c r="G89" s="37">
        <f t="shared" si="7"/>
        <v>4.6761876444990691E-6</v>
      </c>
      <c r="H89" s="47">
        <v>0</v>
      </c>
      <c r="I89" s="40">
        <f t="shared" si="8"/>
        <v>0</v>
      </c>
      <c r="J89" s="35"/>
      <c r="K89" s="71">
        <v>4.0000000000000003E-5</v>
      </c>
      <c r="L89" s="53">
        <v>0</v>
      </c>
      <c r="M89" s="37">
        <f t="shared" si="9"/>
        <v>0</v>
      </c>
      <c r="N89" s="59">
        <v>0</v>
      </c>
      <c r="O89" s="42">
        <f t="shared" si="10"/>
        <v>0</v>
      </c>
      <c r="P89" s="35"/>
      <c r="Q89" s="92">
        <f t="shared" si="11"/>
        <v>0</v>
      </c>
      <c r="R89" s="61"/>
      <c r="S89" s="62"/>
    </row>
    <row r="90" spans="1:19" s="30" customFormat="1" ht="28.7">
      <c r="A90" s="103" t="s">
        <v>1211</v>
      </c>
      <c r="B90" s="104">
        <v>3594.1</v>
      </c>
      <c r="C90" s="105">
        <v>1.72E-2</v>
      </c>
      <c r="D90" s="106">
        <v>210524</v>
      </c>
      <c r="E90" s="107">
        <f t="shared" si="6"/>
        <v>8.3979472730466159E-3</v>
      </c>
      <c r="F90" s="106">
        <v>28148</v>
      </c>
      <c r="G90" s="107">
        <f t="shared" si="7"/>
        <v>1.0968777484779984E-2</v>
      </c>
      <c r="H90" s="108">
        <v>300140</v>
      </c>
      <c r="I90" s="109">
        <f t="shared" si="8"/>
        <v>1.0115069276125821E-2</v>
      </c>
      <c r="J90" s="104"/>
      <c r="K90" s="135">
        <v>5.0430000000000003E-2</v>
      </c>
      <c r="L90" s="112">
        <v>30786</v>
      </c>
      <c r="M90" s="107">
        <f t="shared" si="9"/>
        <v>4.7516709409993916E-3</v>
      </c>
      <c r="N90" s="113">
        <v>184</v>
      </c>
      <c r="O90" s="114">
        <f t="shared" si="10"/>
        <v>2.1989978306408359E-5</v>
      </c>
      <c r="P90" s="104"/>
      <c r="Q90" s="116">
        <f t="shared" si="11"/>
        <v>0</v>
      </c>
      <c r="R90" s="104"/>
      <c r="S90" s="122"/>
    </row>
    <row r="91" spans="1:19">
      <c r="A91" s="1" t="s">
        <v>243</v>
      </c>
      <c r="B91" s="35">
        <v>96.6</v>
      </c>
      <c r="C91" s="71">
        <v>5.0000000000000001E-4</v>
      </c>
      <c r="D91" s="46">
        <v>48357</v>
      </c>
      <c r="E91" s="37">
        <f t="shared" si="6"/>
        <v>1.9289940162770763E-3</v>
      </c>
      <c r="F91" s="46">
        <v>1454</v>
      </c>
      <c r="G91" s="37">
        <f t="shared" si="7"/>
        <v>5.6659806959180386E-4</v>
      </c>
      <c r="H91" s="47">
        <v>5800</v>
      </c>
      <c r="I91" s="40">
        <f t="shared" si="8"/>
        <v>1.9546678817061958E-4</v>
      </c>
      <c r="J91" s="35"/>
      <c r="K91" s="62"/>
      <c r="L91" s="53">
        <v>0</v>
      </c>
      <c r="M91" s="37">
        <f t="shared" si="9"/>
        <v>0</v>
      </c>
      <c r="N91" s="59">
        <v>0</v>
      </c>
      <c r="O91" s="42">
        <f t="shared" si="10"/>
        <v>0</v>
      </c>
      <c r="P91" s="35"/>
      <c r="Q91" s="92">
        <f t="shared" si="11"/>
        <v>0</v>
      </c>
      <c r="R91" s="61"/>
      <c r="S91" s="62"/>
    </row>
    <row r="92" spans="1:19">
      <c r="A92" s="1" t="s">
        <v>1212</v>
      </c>
      <c r="B92" s="35">
        <v>1533.5</v>
      </c>
      <c r="C92" s="71">
        <v>7.3000000000000001E-3</v>
      </c>
      <c r="D92" s="46">
        <v>111474</v>
      </c>
      <c r="E92" s="37">
        <f t="shared" si="6"/>
        <v>4.4467745925196103E-3</v>
      </c>
      <c r="F92" s="46">
        <v>15073</v>
      </c>
      <c r="G92" s="37">
        <f t="shared" si="7"/>
        <v>5.8736813637945392E-3</v>
      </c>
      <c r="H92" s="47">
        <v>0</v>
      </c>
      <c r="I92" s="40">
        <f t="shared" si="8"/>
        <v>0</v>
      </c>
      <c r="J92" s="35"/>
      <c r="K92" s="62"/>
      <c r="L92" s="58">
        <v>29833</v>
      </c>
      <c r="M92" s="37">
        <f t="shared" si="9"/>
        <v>4.6045799773544744E-3</v>
      </c>
      <c r="N92" s="59">
        <v>0</v>
      </c>
      <c r="O92" s="42">
        <f t="shared" si="10"/>
        <v>0</v>
      </c>
      <c r="P92" s="35"/>
      <c r="Q92" s="92">
        <f t="shared" si="11"/>
        <v>0</v>
      </c>
      <c r="R92" s="61"/>
      <c r="S92" s="62"/>
    </row>
    <row r="93" spans="1:19" ht="28.7">
      <c r="A93" s="1" t="s">
        <v>422</v>
      </c>
      <c r="B93" s="35">
        <v>110.7</v>
      </c>
      <c r="C93" s="71">
        <v>5.0000000000000001E-4</v>
      </c>
      <c r="D93" s="46">
        <v>54311</v>
      </c>
      <c r="E93" s="37">
        <f t="shared" si="6"/>
        <v>2.1665031746804864E-3</v>
      </c>
      <c r="F93" s="46">
        <v>1720</v>
      </c>
      <c r="G93" s="37">
        <f t="shared" si="7"/>
        <v>6.7025356237819988E-4</v>
      </c>
      <c r="H93" s="47">
        <v>21010</v>
      </c>
      <c r="I93" s="40">
        <f t="shared" si="8"/>
        <v>7.080615895628823E-4</v>
      </c>
      <c r="J93" s="35"/>
      <c r="K93" s="71">
        <v>2.99E-3</v>
      </c>
      <c r="L93" s="53">
        <v>0</v>
      </c>
      <c r="M93" s="37">
        <f t="shared" si="9"/>
        <v>0</v>
      </c>
      <c r="N93" s="59">
        <v>0</v>
      </c>
      <c r="O93" s="42">
        <f t="shared" si="10"/>
        <v>0</v>
      </c>
      <c r="P93" s="35"/>
      <c r="Q93" s="92">
        <f t="shared" si="11"/>
        <v>0</v>
      </c>
      <c r="R93" s="61"/>
      <c r="S93" s="62"/>
    </row>
    <row r="94" spans="1:19" ht="43">
      <c r="A94" s="1" t="s">
        <v>1213</v>
      </c>
      <c r="B94" s="35">
        <v>17.8</v>
      </c>
      <c r="C94" s="71">
        <v>1E-4</v>
      </c>
      <c r="D94" s="46">
        <v>48910</v>
      </c>
      <c r="E94" s="37">
        <f t="shared" si="6"/>
        <v>1.9510535669316085E-3</v>
      </c>
      <c r="F94" s="46">
        <v>278</v>
      </c>
      <c r="G94" s="37">
        <f t="shared" si="7"/>
        <v>1.083316804308951E-4</v>
      </c>
      <c r="H94" s="47">
        <v>0</v>
      </c>
      <c r="I94" s="40">
        <f t="shared" si="8"/>
        <v>0</v>
      </c>
      <c r="J94" s="35"/>
      <c r="K94" s="71">
        <v>1.3999999999999999E-4</v>
      </c>
      <c r="L94" s="53">
        <v>0</v>
      </c>
      <c r="M94" s="37">
        <f t="shared" si="9"/>
        <v>0</v>
      </c>
      <c r="N94" s="59">
        <v>0</v>
      </c>
      <c r="O94" s="42">
        <f t="shared" si="10"/>
        <v>0</v>
      </c>
      <c r="P94" s="35"/>
      <c r="Q94" s="92">
        <f t="shared" si="11"/>
        <v>0</v>
      </c>
      <c r="R94" s="61"/>
      <c r="S94" s="62"/>
    </row>
    <row r="95" spans="1:19" ht="25.35">
      <c r="A95" s="1" t="s">
        <v>1214</v>
      </c>
      <c r="B95" s="35">
        <v>166.1</v>
      </c>
      <c r="C95" s="71">
        <v>8.0000000000000004E-4</v>
      </c>
      <c r="D95" s="46">
        <v>54720</v>
      </c>
      <c r="E95" s="37">
        <f t="shared" si="6"/>
        <v>2.1828184662134047E-3</v>
      </c>
      <c r="F95" s="46">
        <v>2150</v>
      </c>
      <c r="G95" s="37">
        <f t="shared" si="7"/>
        <v>8.3781695297274988E-4</v>
      </c>
      <c r="H95" s="47">
        <v>30010</v>
      </c>
      <c r="I95" s="40">
        <f t="shared" si="8"/>
        <v>1.0113721229310852E-3</v>
      </c>
      <c r="J95" s="35"/>
      <c r="K95" s="62"/>
      <c r="L95" s="53">
        <v>0</v>
      </c>
      <c r="M95" s="37">
        <f t="shared" si="9"/>
        <v>0</v>
      </c>
      <c r="N95" s="59">
        <v>0</v>
      </c>
      <c r="O95" s="42">
        <f t="shared" si="10"/>
        <v>0</v>
      </c>
      <c r="P95" s="35">
        <v>224048000</v>
      </c>
      <c r="Q95" s="92">
        <f t="shared" si="11"/>
        <v>9.2059076881148441E-4</v>
      </c>
      <c r="R95" s="68" t="s">
        <v>1215</v>
      </c>
      <c r="S95" s="69">
        <v>1.2999999999999999E-2</v>
      </c>
    </row>
    <row r="96" spans="1:19">
      <c r="A96" s="1" t="s">
        <v>1216</v>
      </c>
      <c r="B96" s="35">
        <v>34</v>
      </c>
      <c r="C96" s="71">
        <v>2.0000000000000001E-4</v>
      </c>
      <c r="D96" s="46">
        <v>8562</v>
      </c>
      <c r="E96" s="37">
        <f t="shared" si="6"/>
        <v>3.41544073605979E-4</v>
      </c>
      <c r="F96" s="46">
        <v>135</v>
      </c>
      <c r="G96" s="37">
        <f t="shared" si="7"/>
        <v>5.2607111000614529E-5</v>
      </c>
      <c r="H96" s="47">
        <v>0</v>
      </c>
      <c r="I96" s="40">
        <f t="shared" si="8"/>
        <v>0</v>
      </c>
      <c r="J96" s="35"/>
      <c r="K96" s="62"/>
      <c r="L96" s="53">
        <v>0</v>
      </c>
      <c r="M96" s="37">
        <f t="shared" si="9"/>
        <v>0</v>
      </c>
      <c r="N96" s="59">
        <v>0</v>
      </c>
      <c r="O96" s="42">
        <f t="shared" si="10"/>
        <v>0</v>
      </c>
      <c r="P96" s="35"/>
      <c r="Q96" s="92">
        <f t="shared" si="11"/>
        <v>0</v>
      </c>
      <c r="R96" s="61"/>
      <c r="S96" s="62"/>
    </row>
    <row r="97" spans="1:19">
      <c r="A97" s="1" t="s">
        <v>1217</v>
      </c>
      <c r="B97" s="35">
        <v>66.3</v>
      </c>
      <c r="C97" s="71">
        <v>2.9999999999999997E-4</v>
      </c>
      <c r="D97" s="46">
        <v>50932</v>
      </c>
      <c r="E97" s="37">
        <f t="shared" si="6"/>
        <v>2.0317125387642751E-3</v>
      </c>
      <c r="F97" s="46">
        <v>71</v>
      </c>
      <c r="G97" s="37">
        <f t="shared" si="7"/>
        <v>2.7667443563286159E-5</v>
      </c>
      <c r="H97" s="47">
        <v>0</v>
      </c>
      <c r="I97" s="40">
        <f t="shared" si="8"/>
        <v>0</v>
      </c>
      <c r="J97" s="35"/>
      <c r="K97" s="62"/>
      <c r="L97" s="58">
        <v>4349</v>
      </c>
      <c r="M97" s="37">
        <f t="shared" si="9"/>
        <v>6.7124722024317388E-4</v>
      </c>
      <c r="N97" s="59">
        <v>0</v>
      </c>
      <c r="O97" s="42">
        <f t="shared" si="10"/>
        <v>0</v>
      </c>
      <c r="P97" s="35"/>
      <c r="Q97" s="92">
        <f t="shared" si="11"/>
        <v>0</v>
      </c>
      <c r="R97" s="61"/>
      <c r="S97" s="62"/>
    </row>
    <row r="98" spans="1:19">
      <c r="A98" s="1" t="s">
        <v>1218</v>
      </c>
      <c r="B98" s="35">
        <v>46.3</v>
      </c>
      <c r="C98" s="71">
        <v>2.0000000000000001E-4</v>
      </c>
      <c r="D98" s="46">
        <v>52038</v>
      </c>
      <c r="E98" s="37">
        <f t="shared" si="6"/>
        <v>2.07583164007334E-3</v>
      </c>
      <c r="F98" s="46">
        <v>83</v>
      </c>
      <c r="G98" s="37">
        <f t="shared" si="7"/>
        <v>3.234363120778523E-5</v>
      </c>
      <c r="H98" s="47">
        <v>0</v>
      </c>
      <c r="I98" s="40">
        <f t="shared" si="8"/>
        <v>0</v>
      </c>
      <c r="J98" s="35"/>
      <c r="K98" s="62"/>
      <c r="L98" s="58">
        <v>13028</v>
      </c>
      <c r="M98" s="37">
        <f t="shared" si="9"/>
        <v>2.0108091021678706E-3</v>
      </c>
      <c r="N98" s="59">
        <v>0</v>
      </c>
      <c r="O98" s="42">
        <f t="shared" si="10"/>
        <v>0</v>
      </c>
      <c r="P98" s="35"/>
      <c r="Q98" s="92">
        <f t="shared" si="11"/>
        <v>0</v>
      </c>
      <c r="R98" s="61"/>
      <c r="S98" s="62"/>
    </row>
    <row r="99" spans="1:19">
      <c r="A99" s="1" t="s">
        <v>1219</v>
      </c>
      <c r="B99" s="35">
        <v>784</v>
      </c>
      <c r="C99" s="71">
        <v>3.8E-3</v>
      </c>
      <c r="D99" s="46">
        <v>44771</v>
      </c>
      <c r="E99" s="37">
        <f t="shared" si="6"/>
        <v>1.7859460078735443E-3</v>
      </c>
      <c r="F99" s="46">
        <v>55</v>
      </c>
      <c r="G99" s="37">
        <f t="shared" si="7"/>
        <v>2.1432526703954066E-5</v>
      </c>
      <c r="H99" s="47">
        <v>0</v>
      </c>
      <c r="I99" s="40">
        <f t="shared" si="8"/>
        <v>0</v>
      </c>
      <c r="J99" s="35"/>
      <c r="K99" s="62"/>
      <c r="L99" s="58">
        <v>215118</v>
      </c>
      <c r="M99" s="37">
        <f t="shared" si="9"/>
        <v>3.3202428035012894E-2</v>
      </c>
      <c r="N99" s="59">
        <v>0</v>
      </c>
      <c r="O99" s="42">
        <f t="shared" si="10"/>
        <v>0</v>
      </c>
      <c r="P99" s="35"/>
      <c r="Q99" s="92">
        <f t="shared" si="11"/>
        <v>0</v>
      </c>
      <c r="R99" s="61"/>
      <c r="S99" s="62"/>
    </row>
    <row r="100" spans="1:19">
      <c r="A100" s="70" t="s">
        <v>1220</v>
      </c>
      <c r="B100" s="35">
        <v>0</v>
      </c>
      <c r="C100" s="71">
        <v>0</v>
      </c>
      <c r="D100" s="46">
        <v>0</v>
      </c>
      <c r="E100" s="37">
        <f t="shared" si="6"/>
        <v>0</v>
      </c>
      <c r="F100" s="46">
        <v>0</v>
      </c>
      <c r="G100" s="37">
        <f t="shared" si="7"/>
        <v>0</v>
      </c>
      <c r="H100" s="47">
        <v>5990</v>
      </c>
      <c r="I100" s="40">
        <f t="shared" si="8"/>
        <v>2.0187001054172609E-4</v>
      </c>
      <c r="J100" s="35"/>
      <c r="K100" s="62"/>
      <c r="L100" s="53">
        <v>0</v>
      </c>
      <c r="M100" s="37">
        <f t="shared" si="9"/>
        <v>0</v>
      </c>
      <c r="N100" s="59">
        <v>0</v>
      </c>
      <c r="O100" s="42">
        <f t="shared" si="10"/>
        <v>0</v>
      </c>
      <c r="P100" s="35"/>
      <c r="Q100" s="92">
        <f t="shared" si="11"/>
        <v>0</v>
      </c>
      <c r="R100" s="61"/>
      <c r="S100" s="62"/>
    </row>
    <row r="101" spans="1:19" ht="25.35">
      <c r="A101" s="1" t="s">
        <v>1221</v>
      </c>
      <c r="B101" s="35">
        <v>150.69999999999999</v>
      </c>
      <c r="C101" s="71">
        <v>6.9999999999999999E-4</v>
      </c>
      <c r="D101" s="46">
        <v>42195</v>
      </c>
      <c r="E101" s="37">
        <f t="shared" si="6"/>
        <v>1.683187594698001E-3</v>
      </c>
      <c r="F101" s="46">
        <v>2341</v>
      </c>
      <c r="G101" s="37">
        <f t="shared" si="7"/>
        <v>9.122462729810268E-4</v>
      </c>
      <c r="H101" s="47">
        <v>30010</v>
      </c>
      <c r="I101" s="40">
        <f t="shared" si="8"/>
        <v>1.0113721229310852E-3</v>
      </c>
      <c r="J101" s="35"/>
      <c r="K101" s="62"/>
      <c r="L101" s="53">
        <v>0</v>
      </c>
      <c r="M101" s="37">
        <f t="shared" si="9"/>
        <v>0</v>
      </c>
      <c r="N101" s="59">
        <v>0</v>
      </c>
      <c r="O101" s="42">
        <f t="shared" si="10"/>
        <v>0</v>
      </c>
      <c r="P101" s="35">
        <v>367127000</v>
      </c>
      <c r="Q101" s="92">
        <f t="shared" si="11"/>
        <v>1.5084880346240711E-3</v>
      </c>
      <c r="R101" s="68" t="s">
        <v>1222</v>
      </c>
      <c r="S101" s="69">
        <v>0.02</v>
      </c>
    </row>
    <row r="102" spans="1:19">
      <c r="A102" s="1" t="s">
        <v>1223</v>
      </c>
      <c r="B102" s="35">
        <v>165.2</v>
      </c>
      <c r="C102" s="71">
        <v>8.0000000000000004E-4</v>
      </c>
      <c r="D102" s="46">
        <v>63411</v>
      </c>
      <c r="E102" s="37">
        <f t="shared" si="6"/>
        <v>2.5295084386158296E-3</v>
      </c>
      <c r="F102" s="46">
        <v>2139</v>
      </c>
      <c r="G102" s="37">
        <f t="shared" si="7"/>
        <v>8.3353044763195914E-4</v>
      </c>
      <c r="H102" s="47">
        <v>60020</v>
      </c>
      <c r="I102" s="40">
        <f t="shared" si="8"/>
        <v>2.0227442458621704E-3</v>
      </c>
      <c r="J102" s="35"/>
      <c r="K102" s="92">
        <v>3.4099999999999998E-3</v>
      </c>
      <c r="L102" s="58">
        <v>13284</v>
      </c>
      <c r="M102" s="37">
        <f t="shared" si="9"/>
        <v>2.0503214701564319E-3</v>
      </c>
      <c r="N102" s="59">
        <v>0</v>
      </c>
      <c r="O102" s="42">
        <f t="shared" si="10"/>
        <v>0</v>
      </c>
      <c r="P102" s="35">
        <v>275054500</v>
      </c>
      <c r="Q102" s="92">
        <f t="shared" si="11"/>
        <v>1.1301713633688247E-3</v>
      </c>
      <c r="R102" s="61"/>
      <c r="S102" s="62"/>
    </row>
    <row r="103" spans="1:19" ht="28.7">
      <c r="A103" s="1" t="s">
        <v>1224</v>
      </c>
      <c r="B103" s="35">
        <v>42.7</v>
      </c>
      <c r="C103" s="71">
        <v>2.0000000000000001E-4</v>
      </c>
      <c r="D103" s="46">
        <v>46885</v>
      </c>
      <c r="E103" s="37">
        <f t="shared" si="6"/>
        <v>1.8702749230339085E-3</v>
      </c>
      <c r="F103" s="46">
        <v>536</v>
      </c>
      <c r="G103" s="37">
        <f t="shared" si="7"/>
        <v>2.0886971478762509E-4</v>
      </c>
      <c r="H103" s="47">
        <v>17620</v>
      </c>
      <c r="I103" s="40">
        <f t="shared" si="8"/>
        <v>5.938146219941926E-4</v>
      </c>
      <c r="J103" s="35"/>
      <c r="K103" s="62"/>
      <c r="L103" s="53">
        <v>0</v>
      </c>
      <c r="M103" s="37">
        <f t="shared" si="9"/>
        <v>0</v>
      </c>
      <c r="N103" s="59">
        <v>0</v>
      </c>
      <c r="O103" s="42">
        <f t="shared" si="10"/>
        <v>0</v>
      </c>
      <c r="P103" s="35"/>
      <c r="Q103" s="92">
        <f t="shared" si="11"/>
        <v>0</v>
      </c>
      <c r="R103" s="61"/>
      <c r="S103" s="62"/>
    </row>
    <row r="104" spans="1:19">
      <c r="A104" s="1" t="s">
        <v>404</v>
      </c>
      <c r="B104" s="35">
        <v>142.19999999999999</v>
      </c>
      <c r="C104" s="71">
        <v>6.9999999999999999E-4</v>
      </c>
      <c r="D104" s="46">
        <v>62550</v>
      </c>
      <c r="E104" s="37">
        <f t="shared" si="6"/>
        <v>2.4951625559511783E-3</v>
      </c>
      <c r="F104" s="46">
        <v>432</v>
      </c>
      <c r="G104" s="37">
        <f t="shared" si="7"/>
        <v>1.6834275520196648E-4</v>
      </c>
      <c r="H104" s="47">
        <v>0</v>
      </c>
      <c r="I104" s="40">
        <f t="shared" si="8"/>
        <v>0</v>
      </c>
      <c r="J104" s="35"/>
      <c r="K104" s="62"/>
      <c r="L104" s="58">
        <v>41895</v>
      </c>
      <c r="M104" s="37">
        <f t="shared" si="9"/>
        <v>6.4662916284405087E-3</v>
      </c>
      <c r="N104" s="59">
        <v>0</v>
      </c>
      <c r="O104" s="42">
        <f t="shared" si="10"/>
        <v>0</v>
      </c>
      <c r="P104" s="35"/>
      <c r="Q104" s="92">
        <f t="shared" si="11"/>
        <v>0</v>
      </c>
      <c r="R104" s="61"/>
      <c r="S104" s="62"/>
    </row>
    <row r="105" spans="1:19">
      <c r="A105" s="1" t="s">
        <v>1120</v>
      </c>
      <c r="B105" s="35">
        <v>109.4</v>
      </c>
      <c r="C105" s="71">
        <v>5.0000000000000001E-4</v>
      </c>
      <c r="D105" s="46">
        <v>52038</v>
      </c>
      <c r="E105" s="37">
        <f t="shared" si="6"/>
        <v>2.07583164007334E-3</v>
      </c>
      <c r="F105" s="46">
        <v>1822</v>
      </c>
      <c r="G105" s="37">
        <f t="shared" si="7"/>
        <v>7.1000115735644204E-4</v>
      </c>
      <c r="H105" s="47">
        <v>0</v>
      </c>
      <c r="I105" s="40">
        <f t="shared" si="8"/>
        <v>0</v>
      </c>
      <c r="J105" s="35"/>
      <c r="K105" s="62"/>
      <c r="L105" s="58">
        <v>17469</v>
      </c>
      <c r="M105" s="37">
        <f t="shared" si="9"/>
        <v>2.696256079656934E-3</v>
      </c>
      <c r="N105" s="59">
        <v>0</v>
      </c>
      <c r="O105" s="42">
        <f t="shared" si="10"/>
        <v>0</v>
      </c>
      <c r="P105" s="35"/>
      <c r="Q105" s="92">
        <f t="shared" si="11"/>
        <v>0</v>
      </c>
      <c r="R105" s="61"/>
      <c r="S105" s="62"/>
    </row>
    <row r="106" spans="1:19">
      <c r="A106" s="1" t="s">
        <v>318</v>
      </c>
      <c r="B106" s="35">
        <v>912.5</v>
      </c>
      <c r="C106" s="71">
        <v>4.4000000000000003E-3</v>
      </c>
      <c r="D106" s="46">
        <v>91778</v>
      </c>
      <c r="E106" s="37">
        <f t="shared" si="6"/>
        <v>3.6610875948854872E-3</v>
      </c>
      <c r="F106" s="46">
        <v>16606</v>
      </c>
      <c r="G106" s="37">
        <f t="shared" si="7"/>
        <v>6.471064335379295E-3</v>
      </c>
      <c r="H106" s="47">
        <v>0</v>
      </c>
      <c r="I106" s="40">
        <f t="shared" si="8"/>
        <v>0</v>
      </c>
      <c r="J106" s="35"/>
      <c r="K106" s="71">
        <v>2.726E-2</v>
      </c>
      <c r="L106" s="53">
        <v>0</v>
      </c>
      <c r="M106" s="37">
        <f t="shared" si="9"/>
        <v>0</v>
      </c>
      <c r="N106" s="59">
        <v>0</v>
      </c>
      <c r="O106" s="42">
        <f t="shared" si="10"/>
        <v>0</v>
      </c>
      <c r="P106" s="35"/>
      <c r="Q106" s="92">
        <f t="shared" si="11"/>
        <v>0</v>
      </c>
      <c r="R106" s="61"/>
      <c r="S106" s="62"/>
    </row>
    <row r="107" spans="1:19">
      <c r="A107" s="1" t="s">
        <v>1225</v>
      </c>
      <c r="B107" s="35">
        <v>46.9</v>
      </c>
      <c r="C107" s="71">
        <v>2.0000000000000001E-4</v>
      </c>
      <c r="D107" s="46">
        <v>55016</v>
      </c>
      <c r="E107" s="37">
        <f t="shared" si="6"/>
        <v>2.1946261099633894E-3</v>
      </c>
      <c r="F107" s="46">
        <v>16</v>
      </c>
      <c r="G107" s="37">
        <f t="shared" si="7"/>
        <v>6.2349168593320925E-6</v>
      </c>
      <c r="H107" s="47">
        <v>0</v>
      </c>
      <c r="I107" s="40">
        <f t="shared" si="8"/>
        <v>0</v>
      </c>
      <c r="J107" s="35"/>
      <c r="K107" s="71">
        <v>4.0000000000000003E-5</v>
      </c>
      <c r="L107" s="53">
        <v>0</v>
      </c>
      <c r="M107" s="37">
        <f t="shared" si="9"/>
        <v>0</v>
      </c>
      <c r="N107" s="59">
        <v>0</v>
      </c>
      <c r="O107" s="42">
        <f t="shared" si="10"/>
        <v>0</v>
      </c>
      <c r="P107" s="35"/>
      <c r="Q107" s="92">
        <f t="shared" si="11"/>
        <v>0</v>
      </c>
      <c r="R107" s="61"/>
      <c r="S107" s="62"/>
    </row>
    <row r="108" spans="1:19">
      <c r="A108" s="1" t="s">
        <v>1226</v>
      </c>
      <c r="B108" s="35">
        <v>116.2</v>
      </c>
      <c r="C108" s="71">
        <v>5.9999999999999995E-4</v>
      </c>
      <c r="D108" s="46">
        <v>60679</v>
      </c>
      <c r="E108" s="37">
        <f t="shared" si="6"/>
        <v>2.4205270780585379E-3</v>
      </c>
      <c r="F108" s="46">
        <v>451</v>
      </c>
      <c r="G108" s="37">
        <f t="shared" si="7"/>
        <v>1.7574671897242335E-4</v>
      </c>
      <c r="H108" s="47">
        <v>0</v>
      </c>
      <c r="I108" s="40">
        <f t="shared" si="8"/>
        <v>0</v>
      </c>
      <c r="J108" s="35"/>
      <c r="K108" s="62"/>
      <c r="L108" s="58">
        <v>28489</v>
      </c>
      <c r="M108" s="37">
        <f t="shared" si="9"/>
        <v>4.3971400454145279E-3</v>
      </c>
      <c r="N108" s="59">
        <v>0</v>
      </c>
      <c r="O108" s="42">
        <f t="shared" si="10"/>
        <v>0</v>
      </c>
      <c r="P108" s="35"/>
      <c r="Q108" s="92">
        <f t="shared" si="11"/>
        <v>0</v>
      </c>
      <c r="R108" s="61"/>
      <c r="S108" s="62"/>
    </row>
    <row r="109" spans="1:19">
      <c r="A109" s="1" t="s">
        <v>1227</v>
      </c>
      <c r="B109" s="35">
        <v>107.4</v>
      </c>
      <c r="C109" s="71">
        <v>5.0000000000000001E-4</v>
      </c>
      <c r="D109" s="46">
        <v>0</v>
      </c>
      <c r="E109" s="37">
        <f t="shared" si="6"/>
        <v>0</v>
      </c>
      <c r="F109" s="46">
        <v>1615</v>
      </c>
      <c r="G109" s="37">
        <f t="shared" si="7"/>
        <v>6.2933692048883303E-4</v>
      </c>
      <c r="H109" s="47">
        <v>2100</v>
      </c>
      <c r="I109" s="40">
        <f t="shared" si="8"/>
        <v>7.0772457785913987E-5</v>
      </c>
      <c r="J109" s="35"/>
      <c r="K109" s="62"/>
      <c r="L109" s="53">
        <v>0</v>
      </c>
      <c r="M109" s="37">
        <f t="shared" si="9"/>
        <v>0</v>
      </c>
      <c r="N109" s="59">
        <v>0</v>
      </c>
      <c r="O109" s="42">
        <f t="shared" si="10"/>
        <v>0</v>
      </c>
      <c r="P109" s="35">
        <v>102665000</v>
      </c>
      <c r="Q109" s="92">
        <f t="shared" si="11"/>
        <v>4.2184019174476475E-4</v>
      </c>
      <c r="R109" s="61"/>
      <c r="S109" s="62"/>
    </row>
    <row r="110" spans="1:19" ht="28.7">
      <c r="A110" s="1" t="s">
        <v>1228</v>
      </c>
      <c r="B110" s="35">
        <v>46.9</v>
      </c>
      <c r="C110" s="71">
        <v>2.0000000000000001E-4</v>
      </c>
      <c r="D110" s="46">
        <v>4902</v>
      </c>
      <c r="E110" s="37">
        <f t="shared" si="6"/>
        <v>1.9554415426495085E-4</v>
      </c>
      <c r="F110" s="46">
        <v>663</v>
      </c>
      <c r="G110" s="37">
        <f t="shared" si="7"/>
        <v>2.5835936735857357E-4</v>
      </c>
      <c r="H110" s="47">
        <v>0</v>
      </c>
      <c r="I110" s="40">
        <f t="shared" si="8"/>
        <v>0</v>
      </c>
      <c r="J110" s="35"/>
      <c r="K110" s="71">
        <v>3.0000000000000001E-5</v>
      </c>
      <c r="L110" s="53">
        <v>0</v>
      </c>
      <c r="M110" s="37">
        <f t="shared" si="9"/>
        <v>0</v>
      </c>
      <c r="N110" s="59">
        <v>0</v>
      </c>
      <c r="O110" s="42">
        <f t="shared" si="10"/>
        <v>0</v>
      </c>
      <c r="P110" s="35"/>
      <c r="Q110" s="92">
        <f t="shared" si="11"/>
        <v>0</v>
      </c>
      <c r="R110" s="61"/>
      <c r="S110" s="62"/>
    </row>
    <row r="111" spans="1:19">
      <c r="A111" s="1" t="s">
        <v>1229</v>
      </c>
      <c r="B111" s="35">
        <v>90</v>
      </c>
      <c r="C111" s="71">
        <v>4.0000000000000002E-4</v>
      </c>
      <c r="D111" s="46">
        <v>48910</v>
      </c>
      <c r="E111" s="37">
        <f t="shared" si="6"/>
        <v>1.9510535669316085E-3</v>
      </c>
      <c r="F111" s="46">
        <v>214</v>
      </c>
      <c r="G111" s="37">
        <f t="shared" si="7"/>
        <v>8.339201299356673E-5</v>
      </c>
      <c r="H111" s="47">
        <v>0</v>
      </c>
      <c r="I111" s="40">
        <f t="shared" si="8"/>
        <v>0</v>
      </c>
      <c r="J111" s="35"/>
      <c r="K111" s="62"/>
      <c r="L111" s="58">
        <v>4329</v>
      </c>
      <c r="M111" s="37">
        <f t="shared" si="9"/>
        <v>6.6816031649406761E-4</v>
      </c>
      <c r="N111" s="59">
        <v>0</v>
      </c>
      <c r="O111" s="42">
        <f t="shared" si="10"/>
        <v>0</v>
      </c>
      <c r="P111" s="35"/>
      <c r="Q111" s="92">
        <f t="shared" si="11"/>
        <v>0</v>
      </c>
      <c r="R111" s="61"/>
      <c r="S111" s="62"/>
    </row>
    <row r="112" spans="1:19">
      <c r="A112" s="1" t="s">
        <v>1230</v>
      </c>
      <c r="B112" s="35">
        <v>124.2</v>
      </c>
      <c r="C112" s="71">
        <v>5.9999999999999995E-4</v>
      </c>
      <c r="D112" s="46">
        <v>68113</v>
      </c>
      <c r="E112" s="37">
        <f t="shared" si="6"/>
        <v>2.717074455211872E-3</v>
      </c>
      <c r="F112" s="46">
        <v>1665</v>
      </c>
      <c r="G112" s="37">
        <f t="shared" si="7"/>
        <v>6.4882103567424584E-4</v>
      </c>
      <c r="H112" s="47">
        <v>0</v>
      </c>
      <c r="I112" s="40">
        <f t="shared" si="8"/>
        <v>0</v>
      </c>
      <c r="J112" s="35"/>
      <c r="K112" s="62"/>
      <c r="L112" s="58">
        <v>42688</v>
      </c>
      <c r="M112" s="37">
        <f t="shared" si="9"/>
        <v>6.5886873620925749E-3</v>
      </c>
      <c r="N112" s="59">
        <v>0</v>
      </c>
      <c r="O112" s="42">
        <f t="shared" si="10"/>
        <v>0</v>
      </c>
      <c r="P112" s="35"/>
      <c r="Q112" s="92">
        <f t="shared" si="11"/>
        <v>0</v>
      </c>
      <c r="R112" s="61"/>
      <c r="S112" s="62"/>
    </row>
    <row r="113" spans="1:19" s="30" customFormat="1">
      <c r="A113" s="103" t="s">
        <v>78</v>
      </c>
      <c r="B113" s="104">
        <v>1909.8</v>
      </c>
      <c r="C113" s="105">
        <v>9.1000000000000004E-3</v>
      </c>
      <c r="D113" s="106">
        <v>142236</v>
      </c>
      <c r="E113" s="107">
        <f t="shared" si="6"/>
        <v>5.6738919473744483E-3</v>
      </c>
      <c r="F113" s="106">
        <v>30532</v>
      </c>
      <c r="G113" s="107">
        <f t="shared" si="7"/>
        <v>1.1897780096820465E-2</v>
      </c>
      <c r="H113" s="108">
        <v>45010</v>
      </c>
      <c r="I113" s="109">
        <f t="shared" si="8"/>
        <v>1.5168896785447564E-3</v>
      </c>
      <c r="J113" s="104"/>
      <c r="K113" s="122"/>
      <c r="L113" s="119">
        <v>0</v>
      </c>
      <c r="M113" s="107">
        <f t="shared" si="9"/>
        <v>0</v>
      </c>
      <c r="N113" s="113">
        <v>578632</v>
      </c>
      <c r="O113" s="114">
        <f t="shared" si="10"/>
        <v>6.9152745257574352E-2</v>
      </c>
      <c r="P113" s="104"/>
      <c r="Q113" s="116">
        <f t="shared" si="11"/>
        <v>0</v>
      </c>
      <c r="R113" s="104"/>
      <c r="S113" s="122"/>
    </row>
    <row r="114" spans="1:19" ht="43">
      <c r="A114" s="1" t="s">
        <v>1231</v>
      </c>
      <c r="B114" s="35">
        <v>47.9</v>
      </c>
      <c r="C114" s="71">
        <v>2.0000000000000001E-4</v>
      </c>
      <c r="D114" s="46">
        <v>18424</v>
      </c>
      <c r="E114" s="37">
        <f t="shared" si="6"/>
        <v>7.3494604205986416E-4</v>
      </c>
      <c r="F114" s="46">
        <v>744</v>
      </c>
      <c r="G114" s="37">
        <f t="shared" si="7"/>
        <v>2.8992363395894229E-4</v>
      </c>
      <c r="H114" s="47">
        <v>0</v>
      </c>
      <c r="I114" s="40">
        <f t="shared" si="8"/>
        <v>0</v>
      </c>
      <c r="J114" s="35"/>
      <c r="K114" s="71">
        <v>4.0000000000000003E-5</v>
      </c>
      <c r="L114" s="53">
        <v>0</v>
      </c>
      <c r="M114" s="37">
        <f t="shared" si="9"/>
        <v>0</v>
      </c>
      <c r="N114" s="59">
        <v>0</v>
      </c>
      <c r="O114" s="42">
        <f t="shared" si="10"/>
        <v>0</v>
      </c>
      <c r="P114" s="35"/>
      <c r="Q114" s="92">
        <f t="shared" si="11"/>
        <v>0</v>
      </c>
      <c r="R114" s="61"/>
      <c r="S114" s="62"/>
    </row>
    <row r="115" spans="1:19">
      <c r="A115" s="1" t="s">
        <v>1232</v>
      </c>
      <c r="B115" s="35">
        <v>136.80000000000001</v>
      </c>
      <c r="C115" s="71">
        <v>6.9999999999999999E-4</v>
      </c>
      <c r="D115" s="46">
        <v>56582</v>
      </c>
      <c r="E115" s="37">
        <f t="shared" si="6"/>
        <v>2.2570949279109441E-3</v>
      </c>
      <c r="F115" s="46">
        <v>1192</v>
      </c>
      <c r="G115" s="37">
        <f t="shared" si="7"/>
        <v>4.6450130602024086E-4</v>
      </c>
      <c r="H115" s="47">
        <v>30010</v>
      </c>
      <c r="I115" s="40">
        <f t="shared" si="8"/>
        <v>1.0113721229310852E-3</v>
      </c>
      <c r="J115" s="35"/>
      <c r="K115" s="62"/>
      <c r="L115" s="53">
        <v>0</v>
      </c>
      <c r="M115" s="37">
        <f t="shared" si="9"/>
        <v>0</v>
      </c>
      <c r="N115" s="59">
        <v>0</v>
      </c>
      <c r="O115" s="42">
        <f t="shared" si="10"/>
        <v>0</v>
      </c>
      <c r="P115" s="35"/>
      <c r="Q115" s="92">
        <f t="shared" si="11"/>
        <v>0</v>
      </c>
      <c r="R115" s="61"/>
      <c r="S115" s="62"/>
    </row>
    <row r="116" spans="1:19">
      <c r="A116" s="1" t="s">
        <v>201</v>
      </c>
      <c r="B116" s="35">
        <v>46.6</v>
      </c>
      <c r="C116" s="71">
        <v>2.0000000000000001E-4</v>
      </c>
      <c r="D116" s="46">
        <v>45667</v>
      </c>
      <c r="E116" s="37">
        <f t="shared" si="6"/>
        <v>1.8216880646302551E-3</v>
      </c>
      <c r="F116" s="46">
        <v>144</v>
      </c>
      <c r="G116" s="37">
        <f t="shared" si="7"/>
        <v>5.611425173398883E-5</v>
      </c>
      <c r="H116" s="47">
        <v>2990</v>
      </c>
      <c r="I116" s="40">
        <f t="shared" si="8"/>
        <v>1.0076649941899183E-4</v>
      </c>
      <c r="J116" s="35"/>
      <c r="K116" s="71">
        <v>1.4999999999999999E-4</v>
      </c>
      <c r="L116" s="53">
        <v>0</v>
      </c>
      <c r="M116" s="37">
        <f t="shared" si="9"/>
        <v>0</v>
      </c>
      <c r="N116" s="59">
        <v>0</v>
      </c>
      <c r="O116" s="42">
        <f t="shared" si="10"/>
        <v>0</v>
      </c>
      <c r="P116" s="35"/>
      <c r="Q116" s="92">
        <f t="shared" si="11"/>
        <v>0</v>
      </c>
      <c r="R116" s="61"/>
      <c r="S116" s="62"/>
    </row>
    <row r="117" spans="1:19">
      <c r="A117" s="1" t="s">
        <v>975</v>
      </c>
      <c r="B117" s="35">
        <v>68.8</v>
      </c>
      <c r="C117" s="71">
        <v>2.9999999999999997E-4</v>
      </c>
      <c r="D117" s="46">
        <v>52896</v>
      </c>
      <c r="E117" s="37">
        <f t="shared" si="6"/>
        <v>2.1100578506729581E-3</v>
      </c>
      <c r="F117" s="46">
        <v>1035</v>
      </c>
      <c r="G117" s="37">
        <f t="shared" si="7"/>
        <v>4.0332118433804472E-4</v>
      </c>
      <c r="H117" s="47">
        <v>4200</v>
      </c>
      <c r="I117" s="40">
        <f t="shared" si="8"/>
        <v>1.4154491557182797E-4</v>
      </c>
      <c r="J117" s="35"/>
      <c r="K117" s="62"/>
      <c r="L117" s="53">
        <v>0</v>
      </c>
      <c r="M117" s="37">
        <f t="shared" si="9"/>
        <v>0</v>
      </c>
      <c r="N117" s="59">
        <v>0</v>
      </c>
      <c r="O117" s="42">
        <f t="shared" si="10"/>
        <v>0</v>
      </c>
      <c r="P117" s="35"/>
      <c r="Q117" s="92">
        <f t="shared" si="11"/>
        <v>0</v>
      </c>
      <c r="R117" s="61"/>
      <c r="S117" s="62"/>
    </row>
    <row r="118" spans="1:19">
      <c r="A118" s="1" t="s">
        <v>132</v>
      </c>
      <c r="B118" s="35">
        <v>661.9</v>
      </c>
      <c r="C118" s="71">
        <v>3.2000000000000002E-3</v>
      </c>
      <c r="D118" s="46">
        <v>98017</v>
      </c>
      <c r="E118" s="37">
        <f t="shared" si="6"/>
        <v>3.9099655994670919E-3</v>
      </c>
      <c r="F118" s="46">
        <v>9635</v>
      </c>
      <c r="G118" s="37">
        <f t="shared" si="7"/>
        <v>3.7545889962290442E-3</v>
      </c>
      <c r="H118" s="47">
        <v>14780</v>
      </c>
      <c r="I118" s="40">
        <f t="shared" si="8"/>
        <v>4.981032981313375E-4</v>
      </c>
      <c r="J118" s="35"/>
      <c r="K118" s="62"/>
      <c r="L118" s="58">
        <v>228243</v>
      </c>
      <c r="M118" s="37">
        <f t="shared" si="9"/>
        <v>3.5228208620363931E-2</v>
      </c>
      <c r="N118" s="59">
        <v>0</v>
      </c>
      <c r="O118" s="42">
        <f t="shared" si="10"/>
        <v>0</v>
      </c>
      <c r="P118" s="35"/>
      <c r="Q118" s="92">
        <f t="shared" si="11"/>
        <v>0</v>
      </c>
      <c r="R118" s="61"/>
      <c r="S118" s="62"/>
    </row>
    <row r="119" spans="1:19">
      <c r="A119" s="1" t="s">
        <v>575</v>
      </c>
      <c r="B119" s="35">
        <v>105.1</v>
      </c>
      <c r="C119" s="71">
        <v>5.0000000000000001E-4</v>
      </c>
      <c r="D119" s="46">
        <v>59370</v>
      </c>
      <c r="E119" s="37">
        <f t="shared" si="6"/>
        <v>2.3683101670155305E-3</v>
      </c>
      <c r="F119" s="46">
        <v>322</v>
      </c>
      <c r="G119" s="37">
        <f t="shared" si="7"/>
        <v>1.2547770179405836E-4</v>
      </c>
      <c r="H119" s="47">
        <v>0</v>
      </c>
      <c r="I119" s="40">
        <f t="shared" si="8"/>
        <v>0</v>
      </c>
      <c r="J119" s="35"/>
      <c r="K119" s="62"/>
      <c r="L119" s="58">
        <v>38708</v>
      </c>
      <c r="M119" s="37">
        <f t="shared" si="9"/>
        <v>5.9743935160204127E-3</v>
      </c>
      <c r="N119" s="59">
        <v>0</v>
      </c>
      <c r="O119" s="42">
        <f t="shared" si="10"/>
        <v>0</v>
      </c>
      <c r="P119" s="35"/>
      <c r="Q119" s="92">
        <f t="shared" si="11"/>
        <v>0</v>
      </c>
      <c r="R119" s="61"/>
      <c r="S119" s="62"/>
    </row>
    <row r="120" spans="1:19">
      <c r="A120" s="1" t="s">
        <v>582</v>
      </c>
      <c r="B120" s="35">
        <v>273.39999999999998</v>
      </c>
      <c r="C120" s="71">
        <v>1.2999999999999999E-3</v>
      </c>
      <c r="D120" s="46">
        <v>76958</v>
      </c>
      <c r="E120" s="37">
        <f t="shared" si="6"/>
        <v>3.0699075936193566E-3</v>
      </c>
      <c r="F120" s="46">
        <v>666</v>
      </c>
      <c r="G120" s="37">
        <f t="shared" si="7"/>
        <v>2.5952841426969832E-4</v>
      </c>
      <c r="H120" s="47">
        <v>0</v>
      </c>
      <c r="I120" s="40">
        <f t="shared" si="8"/>
        <v>0</v>
      </c>
      <c r="J120" s="35"/>
      <c r="K120" s="71">
        <v>5.45E-3</v>
      </c>
      <c r="L120" s="53">
        <v>0</v>
      </c>
      <c r="M120" s="37">
        <f t="shared" si="9"/>
        <v>0</v>
      </c>
      <c r="N120" s="59">
        <v>0</v>
      </c>
      <c r="O120" s="42">
        <f t="shared" si="10"/>
        <v>0</v>
      </c>
      <c r="P120" s="35"/>
      <c r="Q120" s="92">
        <f t="shared" si="11"/>
        <v>0</v>
      </c>
      <c r="R120" s="61"/>
      <c r="S120" s="62"/>
    </row>
    <row r="121" spans="1:19">
      <c r="A121" s="1" t="s">
        <v>1233</v>
      </c>
      <c r="B121" s="35">
        <v>152.30000000000001</v>
      </c>
      <c r="C121" s="71">
        <v>6.9999999999999999E-4</v>
      </c>
      <c r="D121" s="46">
        <v>0</v>
      </c>
      <c r="E121" s="37">
        <f t="shared" si="6"/>
        <v>0</v>
      </c>
      <c r="F121" s="46">
        <v>404</v>
      </c>
      <c r="G121" s="37">
        <f t="shared" si="7"/>
        <v>1.5743165069813532E-4</v>
      </c>
      <c r="H121" s="47">
        <v>0</v>
      </c>
      <c r="I121" s="40">
        <f t="shared" si="8"/>
        <v>0</v>
      </c>
      <c r="J121" s="35"/>
      <c r="K121" s="62"/>
      <c r="L121" s="58">
        <v>22742</v>
      </c>
      <c r="M121" s="37">
        <f t="shared" si="9"/>
        <v>3.5101182531088208E-3</v>
      </c>
      <c r="N121" s="59">
        <v>0</v>
      </c>
      <c r="O121" s="42">
        <f t="shared" si="10"/>
        <v>0</v>
      </c>
      <c r="P121" s="35"/>
      <c r="Q121" s="92">
        <f t="shared" si="11"/>
        <v>0</v>
      </c>
      <c r="R121" s="61"/>
      <c r="S121" s="62"/>
    </row>
    <row r="122" spans="1:19">
      <c r="A122" s="1" t="s">
        <v>1234</v>
      </c>
      <c r="B122" s="35">
        <v>96.8</v>
      </c>
      <c r="C122" s="71">
        <v>5.0000000000000001E-4</v>
      </c>
      <c r="D122" s="46">
        <v>54710</v>
      </c>
      <c r="E122" s="37">
        <f t="shared" si="6"/>
        <v>2.1824195593299592E-3</v>
      </c>
      <c r="F122" s="46">
        <v>822</v>
      </c>
      <c r="G122" s="37">
        <f t="shared" si="7"/>
        <v>3.2031885364818626E-4</v>
      </c>
      <c r="H122" s="47">
        <v>0</v>
      </c>
      <c r="I122" s="40">
        <f t="shared" si="8"/>
        <v>0</v>
      </c>
      <c r="J122" s="35"/>
      <c r="K122" s="71">
        <v>1.47E-3</v>
      </c>
      <c r="L122" s="53">
        <v>0</v>
      </c>
      <c r="M122" s="37">
        <f t="shared" si="9"/>
        <v>0</v>
      </c>
      <c r="N122" s="59">
        <v>0</v>
      </c>
      <c r="O122" s="42">
        <f t="shared" si="10"/>
        <v>0</v>
      </c>
      <c r="P122" s="35"/>
      <c r="Q122" s="92">
        <f t="shared" si="11"/>
        <v>0</v>
      </c>
      <c r="R122" s="61"/>
      <c r="S122" s="62"/>
    </row>
    <row r="123" spans="1:19">
      <c r="A123" s="1" t="s">
        <v>1035</v>
      </c>
      <c r="B123" s="35">
        <v>4169.8</v>
      </c>
      <c r="C123" s="87">
        <v>0.02</v>
      </c>
      <c r="D123" s="46">
        <v>489387</v>
      </c>
      <c r="E123" s="37">
        <f t="shared" si="6"/>
        <v>1.9521984296870971E-2</v>
      </c>
      <c r="F123" s="46">
        <v>56131</v>
      </c>
      <c r="G123" s="37">
        <f t="shared" si="7"/>
        <v>2.1873257389448106E-2</v>
      </c>
      <c r="H123" s="47">
        <v>744350</v>
      </c>
      <c r="I123" s="40">
        <f t="shared" si="8"/>
        <v>2.5085466168069084E-2</v>
      </c>
      <c r="J123" s="35"/>
      <c r="K123" s="93">
        <v>1.027E-2</v>
      </c>
      <c r="L123" s="58">
        <v>56455</v>
      </c>
      <c r="M123" s="37">
        <f t="shared" si="9"/>
        <v>8.7135575577899256E-3</v>
      </c>
      <c r="N123" s="59">
        <v>28207</v>
      </c>
      <c r="O123" s="42">
        <f t="shared" si="10"/>
        <v>3.3710397722220681E-3</v>
      </c>
      <c r="P123" s="35">
        <v>10864587500</v>
      </c>
      <c r="Q123" s="92">
        <f t="shared" si="11"/>
        <v>4.4641500747360584E-2</v>
      </c>
      <c r="R123" s="61"/>
      <c r="S123" s="62"/>
    </row>
    <row r="124" spans="1:19">
      <c r="A124" s="1" t="s">
        <v>1235</v>
      </c>
      <c r="B124" s="35">
        <v>976.1</v>
      </c>
      <c r="C124" s="71">
        <v>4.7000000000000002E-3</v>
      </c>
      <c r="D124" s="46">
        <v>72080</v>
      </c>
      <c r="E124" s="37">
        <f t="shared" si="6"/>
        <v>2.8753208158746749E-3</v>
      </c>
      <c r="F124" s="46">
        <v>3583</v>
      </c>
      <c r="G124" s="37">
        <f t="shared" si="7"/>
        <v>1.3962316941866805E-3</v>
      </c>
      <c r="H124" s="47">
        <v>10500</v>
      </c>
      <c r="I124" s="40">
        <f t="shared" si="8"/>
        <v>3.5386228892956992E-4</v>
      </c>
      <c r="J124" s="35"/>
      <c r="K124" s="71">
        <v>1.537E-2</v>
      </c>
      <c r="L124" s="53">
        <v>0</v>
      </c>
      <c r="M124" s="37">
        <f t="shared" si="9"/>
        <v>0</v>
      </c>
      <c r="N124" s="59">
        <v>0</v>
      </c>
      <c r="O124" s="42">
        <f t="shared" si="10"/>
        <v>0</v>
      </c>
      <c r="P124" s="35"/>
      <c r="Q124" s="92">
        <f t="shared" si="11"/>
        <v>0</v>
      </c>
      <c r="R124" s="61"/>
      <c r="S124" s="62"/>
    </row>
    <row r="125" spans="1:19">
      <c r="A125" s="1" t="s">
        <v>1236</v>
      </c>
      <c r="B125" s="35">
        <v>82.7</v>
      </c>
      <c r="C125" s="71">
        <v>4.0000000000000002E-4</v>
      </c>
      <c r="D125" s="46">
        <v>46457</v>
      </c>
      <c r="E125" s="37">
        <f t="shared" si="6"/>
        <v>1.853201708422444E-3</v>
      </c>
      <c r="F125" s="46">
        <v>715</v>
      </c>
      <c r="G125" s="37">
        <f t="shared" si="7"/>
        <v>2.7862284715140286E-4</v>
      </c>
      <c r="H125" s="47">
        <v>0</v>
      </c>
      <c r="I125" s="40">
        <f t="shared" si="8"/>
        <v>0</v>
      </c>
      <c r="J125" s="35"/>
      <c r="K125" s="62"/>
      <c r="L125" s="53">
        <v>0</v>
      </c>
      <c r="M125" s="37">
        <f t="shared" si="9"/>
        <v>0</v>
      </c>
      <c r="N125" s="59">
        <v>36121</v>
      </c>
      <c r="O125" s="42">
        <f t="shared" si="10"/>
        <v>4.3168478609009577E-3</v>
      </c>
      <c r="P125" s="35"/>
      <c r="Q125" s="92">
        <f t="shared" si="11"/>
        <v>0</v>
      </c>
      <c r="R125" s="61"/>
      <c r="S125" s="62"/>
    </row>
    <row r="126" spans="1:19">
      <c r="A126" s="1" t="s">
        <v>1237</v>
      </c>
      <c r="B126" s="35">
        <v>85.2</v>
      </c>
      <c r="C126" s="71">
        <v>4.0000000000000002E-4</v>
      </c>
      <c r="D126" s="46">
        <v>48910</v>
      </c>
      <c r="E126" s="37">
        <f t="shared" si="6"/>
        <v>1.9510535669316085E-3</v>
      </c>
      <c r="F126" s="46">
        <v>147</v>
      </c>
      <c r="G126" s="37">
        <f t="shared" si="7"/>
        <v>5.7283298645113597E-5</v>
      </c>
      <c r="H126" s="47">
        <v>0</v>
      </c>
      <c r="I126" s="40">
        <f t="shared" si="8"/>
        <v>0</v>
      </c>
      <c r="J126" s="35"/>
      <c r="K126" s="62"/>
      <c r="L126" s="58">
        <v>16773</v>
      </c>
      <c r="M126" s="37">
        <f t="shared" si="9"/>
        <v>2.5888318291880331E-3</v>
      </c>
      <c r="N126" s="59">
        <v>0</v>
      </c>
      <c r="O126" s="42">
        <f t="shared" si="10"/>
        <v>0</v>
      </c>
      <c r="P126" s="35"/>
      <c r="Q126" s="92">
        <f t="shared" si="11"/>
        <v>0</v>
      </c>
      <c r="R126" s="61"/>
      <c r="S126" s="62"/>
    </row>
    <row r="127" spans="1:19">
      <c r="A127" s="1" t="s">
        <v>554</v>
      </c>
      <c r="B127" s="35">
        <v>1277.4000000000001</v>
      </c>
      <c r="C127" s="71">
        <v>6.1000000000000004E-3</v>
      </c>
      <c r="D127" s="46">
        <v>95536</v>
      </c>
      <c r="E127" s="37">
        <f t="shared" si="6"/>
        <v>3.8109968016842807E-3</v>
      </c>
      <c r="F127" s="46">
        <v>27672</v>
      </c>
      <c r="G127" s="37">
        <f t="shared" si="7"/>
        <v>1.0783288708214853E-2</v>
      </c>
      <c r="H127" s="47">
        <v>0</v>
      </c>
      <c r="I127" s="40">
        <f t="shared" si="8"/>
        <v>0</v>
      </c>
      <c r="J127" s="35"/>
      <c r="K127" s="62"/>
      <c r="L127" s="53">
        <v>574669</v>
      </c>
      <c r="M127" s="37">
        <f t="shared" si="9"/>
        <v>8.869739452975961E-2</v>
      </c>
      <c r="N127" s="59">
        <v>0</v>
      </c>
      <c r="O127" s="42">
        <f t="shared" si="10"/>
        <v>0</v>
      </c>
      <c r="P127" s="35"/>
      <c r="Q127" s="92">
        <f t="shared" si="11"/>
        <v>0</v>
      </c>
      <c r="R127" s="61"/>
      <c r="S127" s="62"/>
    </row>
    <row r="128" spans="1:19" ht="25.35">
      <c r="A128" s="1" t="s">
        <v>1238</v>
      </c>
      <c r="B128" s="35">
        <v>1285.0999999999999</v>
      </c>
      <c r="C128" s="71">
        <v>6.1999999999999998E-3</v>
      </c>
      <c r="D128" s="46">
        <v>259974</v>
      </c>
      <c r="E128" s="37">
        <f t="shared" si="6"/>
        <v>1.0370541811684278E-2</v>
      </c>
      <c r="F128" s="46">
        <v>17599</v>
      </c>
      <c r="G128" s="37">
        <f t="shared" si="7"/>
        <v>6.8580188629615933E-3</v>
      </c>
      <c r="H128" s="47">
        <v>375180</v>
      </c>
      <c r="I128" s="40">
        <f t="shared" si="8"/>
        <v>1.2644005101009147E-2</v>
      </c>
      <c r="J128" s="35"/>
      <c r="K128" s="92">
        <v>3.4099999999999998E-3</v>
      </c>
      <c r="L128" s="58">
        <v>75758</v>
      </c>
      <c r="M128" s="37">
        <f t="shared" si="9"/>
        <v>1.1692882711239911E-2</v>
      </c>
      <c r="N128" s="59">
        <v>14157</v>
      </c>
      <c r="O128" s="42">
        <f t="shared" si="10"/>
        <v>1.6919137113251257E-3</v>
      </c>
      <c r="P128" s="35"/>
      <c r="Q128" s="92">
        <f t="shared" si="11"/>
        <v>0</v>
      </c>
      <c r="R128" s="68" t="s">
        <v>1239</v>
      </c>
      <c r="S128" s="69">
        <v>0.215</v>
      </c>
    </row>
    <row r="129" spans="1:19">
      <c r="A129" s="1" t="s">
        <v>1240</v>
      </c>
      <c r="B129" s="35">
        <v>156.1</v>
      </c>
      <c r="C129" s="71">
        <v>6.9999999999999999E-4</v>
      </c>
      <c r="D129" s="46">
        <v>52997</v>
      </c>
      <c r="E129" s="37">
        <f t="shared" si="6"/>
        <v>2.1140868101957567E-3</v>
      </c>
      <c r="F129" s="46">
        <v>1187</v>
      </c>
      <c r="G129" s="37">
        <f t="shared" si="7"/>
        <v>4.6255289450169963E-4</v>
      </c>
      <c r="H129" s="47">
        <v>0</v>
      </c>
      <c r="I129" s="40">
        <f t="shared" si="8"/>
        <v>0</v>
      </c>
      <c r="J129" s="35"/>
      <c r="K129" s="62"/>
      <c r="L129" s="53">
        <v>0</v>
      </c>
      <c r="M129" s="37">
        <f t="shared" si="9"/>
        <v>0</v>
      </c>
      <c r="N129" s="59">
        <v>0</v>
      </c>
      <c r="O129" s="42">
        <f t="shared" si="10"/>
        <v>0</v>
      </c>
      <c r="P129" s="35"/>
      <c r="Q129" s="92">
        <f t="shared" si="11"/>
        <v>0</v>
      </c>
      <c r="R129" s="61"/>
      <c r="S129" s="62"/>
    </row>
    <row r="130" spans="1:19">
      <c r="A130" s="1" t="s">
        <v>442</v>
      </c>
      <c r="B130" s="35">
        <v>1183.4000000000001</v>
      </c>
      <c r="C130" s="71">
        <v>5.7000000000000002E-3</v>
      </c>
      <c r="D130" s="46">
        <v>218506</v>
      </c>
      <c r="E130" s="37">
        <f t="shared" si="6"/>
        <v>8.7163547474127592E-3</v>
      </c>
      <c r="F130" s="46">
        <v>21292</v>
      </c>
      <c r="G130" s="37">
        <f t="shared" si="7"/>
        <v>8.297115610556181E-3</v>
      </c>
      <c r="H130" s="47">
        <v>0</v>
      </c>
      <c r="I130" s="40">
        <f t="shared" si="8"/>
        <v>0</v>
      </c>
      <c r="J130" s="35"/>
      <c r="K130" s="71">
        <v>2.181E-2</v>
      </c>
      <c r="L130" s="53">
        <v>0</v>
      </c>
      <c r="M130" s="37">
        <f t="shared" si="9"/>
        <v>0</v>
      </c>
      <c r="N130" s="59">
        <v>0</v>
      </c>
      <c r="O130" s="42">
        <f t="shared" si="10"/>
        <v>0</v>
      </c>
      <c r="P130" s="35"/>
      <c r="Q130" s="92">
        <f t="shared" si="11"/>
        <v>0</v>
      </c>
      <c r="R130" s="61"/>
      <c r="S130" s="62"/>
    </row>
    <row r="131" spans="1:19">
      <c r="A131" s="1" t="s">
        <v>1241</v>
      </c>
      <c r="B131" s="35">
        <v>1.6</v>
      </c>
      <c r="C131" s="87">
        <v>0</v>
      </c>
      <c r="D131" s="46">
        <v>3804</v>
      </c>
      <c r="E131" s="37">
        <f t="shared" si="6"/>
        <v>1.5174417846264239E-4</v>
      </c>
      <c r="F131" s="46">
        <v>25</v>
      </c>
      <c r="G131" s="37">
        <f t="shared" si="7"/>
        <v>9.7420575927063939E-6</v>
      </c>
      <c r="H131" s="47">
        <v>0</v>
      </c>
      <c r="I131" s="40">
        <f t="shared" si="8"/>
        <v>0</v>
      </c>
      <c r="J131" s="35"/>
      <c r="K131" s="71">
        <v>3.0000000000000001E-5</v>
      </c>
      <c r="L131" s="53">
        <v>0</v>
      </c>
      <c r="M131" s="37">
        <f t="shared" si="9"/>
        <v>0</v>
      </c>
      <c r="N131" s="59">
        <v>0</v>
      </c>
      <c r="O131" s="42">
        <f t="shared" si="10"/>
        <v>0</v>
      </c>
      <c r="P131" s="35"/>
      <c r="Q131" s="92">
        <f t="shared" si="11"/>
        <v>0</v>
      </c>
      <c r="R131" s="61"/>
      <c r="S131" s="62"/>
    </row>
    <row r="132" spans="1:19">
      <c r="A132" s="1" t="s">
        <v>1242</v>
      </c>
      <c r="B132" s="35">
        <v>38.5</v>
      </c>
      <c r="C132" s="71">
        <v>2.0000000000000001E-4</v>
      </c>
      <c r="D132" s="46">
        <v>10185</v>
      </c>
      <c r="E132" s="37">
        <f t="shared" ref="E132:E194" si="12">D132/D$195</f>
        <v>4.0628666078917263E-4</v>
      </c>
      <c r="F132" s="46">
        <v>1007</v>
      </c>
      <c r="G132" s="37">
        <f t="shared" ref="G132:G195" si="13">F132/F$195</f>
        <v>3.9241007983421356E-4</v>
      </c>
      <c r="H132" s="47">
        <v>0</v>
      </c>
      <c r="I132" s="40">
        <f t="shared" ref="I132:I195" si="14">H132/H$195</f>
        <v>0</v>
      </c>
      <c r="J132" s="35"/>
      <c r="K132" s="62"/>
      <c r="L132" s="53">
        <v>0</v>
      </c>
      <c r="M132" s="37">
        <f t="shared" ref="M132:M195" si="15">L132/L$195</f>
        <v>0</v>
      </c>
      <c r="N132" s="59">
        <v>36121</v>
      </c>
      <c r="O132" s="42">
        <f t="shared" ref="O132:O195" si="16">N132/N$195</f>
        <v>4.3168478609009577E-3</v>
      </c>
      <c r="P132" s="35"/>
      <c r="Q132" s="92">
        <f t="shared" ref="Q132:Q195" si="17">P132/P$195</f>
        <v>0</v>
      </c>
      <c r="R132" s="61"/>
      <c r="S132" s="62"/>
    </row>
    <row r="133" spans="1:19" ht="28.7">
      <c r="A133" s="1" t="s">
        <v>1243</v>
      </c>
      <c r="B133" s="35">
        <v>129.4</v>
      </c>
      <c r="C133" s="71">
        <v>5.9999999999999995E-4</v>
      </c>
      <c r="D133" s="46">
        <v>63134</v>
      </c>
      <c r="E133" s="37">
        <f t="shared" si="12"/>
        <v>2.5184587179443913E-3</v>
      </c>
      <c r="F133" s="46">
        <v>1147</v>
      </c>
      <c r="G133" s="37">
        <f t="shared" si="13"/>
        <v>4.4696560235336935E-4</v>
      </c>
      <c r="H133" s="47">
        <v>0</v>
      </c>
      <c r="I133" s="40">
        <f t="shared" si="14"/>
        <v>0</v>
      </c>
      <c r="J133" s="35"/>
      <c r="K133" s="71">
        <v>9.3999999999999997E-4</v>
      </c>
      <c r="L133" s="53">
        <v>0</v>
      </c>
      <c r="M133" s="37">
        <f t="shared" si="15"/>
        <v>0</v>
      </c>
      <c r="N133" s="59">
        <v>0</v>
      </c>
      <c r="O133" s="42">
        <f t="shared" si="16"/>
        <v>0</v>
      </c>
      <c r="P133" s="35"/>
      <c r="Q133" s="92">
        <f t="shared" si="17"/>
        <v>0</v>
      </c>
      <c r="R133" s="61"/>
      <c r="S133" s="62"/>
    </row>
    <row r="134" spans="1:19">
      <c r="A134" s="1" t="s">
        <v>1244</v>
      </c>
      <c r="B134" s="35">
        <v>122.9</v>
      </c>
      <c r="C134" s="71">
        <v>5.9999999999999995E-4</v>
      </c>
      <c r="D134" s="46">
        <v>29968</v>
      </c>
      <c r="E134" s="37">
        <f t="shared" si="12"/>
        <v>1.195444148309271E-3</v>
      </c>
      <c r="F134" s="46">
        <v>436</v>
      </c>
      <c r="G134" s="37">
        <f t="shared" si="13"/>
        <v>1.699014844167995E-4</v>
      </c>
      <c r="H134" s="47">
        <v>0</v>
      </c>
      <c r="I134" s="40">
        <f t="shared" si="14"/>
        <v>0</v>
      </c>
      <c r="J134" s="35"/>
      <c r="K134" s="62"/>
      <c r="L134" s="53">
        <v>0</v>
      </c>
      <c r="M134" s="37">
        <f t="shared" si="15"/>
        <v>0</v>
      </c>
      <c r="N134" s="59">
        <v>36121</v>
      </c>
      <c r="O134" s="42">
        <f t="shared" si="16"/>
        <v>4.3168478609009577E-3</v>
      </c>
      <c r="P134" s="35"/>
      <c r="Q134" s="92">
        <f t="shared" si="17"/>
        <v>0</v>
      </c>
      <c r="R134" s="61"/>
      <c r="S134" s="62"/>
    </row>
    <row r="135" spans="1:19">
      <c r="A135" s="1" t="s">
        <v>1245</v>
      </c>
      <c r="B135" s="35">
        <v>736.5</v>
      </c>
      <c r="C135" s="71">
        <v>3.5000000000000001E-3</v>
      </c>
      <c r="D135" s="46">
        <v>83437</v>
      </c>
      <c r="E135" s="37">
        <f t="shared" si="12"/>
        <v>3.3283593634036521E-3</v>
      </c>
      <c r="F135" s="46">
        <v>8367</v>
      </c>
      <c r="G135" s="37">
        <f t="shared" si="13"/>
        <v>3.2604718351269758E-3</v>
      </c>
      <c r="H135" s="47">
        <v>0</v>
      </c>
      <c r="I135" s="40">
        <f t="shared" si="14"/>
        <v>0</v>
      </c>
      <c r="J135" s="35"/>
      <c r="K135" s="62"/>
      <c r="L135" s="53">
        <v>0</v>
      </c>
      <c r="M135" s="37">
        <f t="shared" si="15"/>
        <v>0</v>
      </c>
      <c r="N135" s="59">
        <v>120445</v>
      </c>
      <c r="O135" s="42">
        <f t="shared" si="16"/>
        <v>1.4394472484322579E-2</v>
      </c>
      <c r="P135" s="35"/>
      <c r="Q135" s="92">
        <f t="shared" si="17"/>
        <v>0</v>
      </c>
      <c r="R135" s="61"/>
      <c r="S135" s="62"/>
    </row>
    <row r="136" spans="1:19">
      <c r="A136" s="1" t="s">
        <v>95</v>
      </c>
      <c r="B136" s="35">
        <v>948.4</v>
      </c>
      <c r="C136" s="71">
        <v>4.4999999999999997E-3</v>
      </c>
      <c r="D136" s="46">
        <v>134587</v>
      </c>
      <c r="E136" s="37">
        <f t="shared" si="12"/>
        <v>5.368768072227038E-3</v>
      </c>
      <c r="F136" s="46">
        <v>13658</v>
      </c>
      <c r="G136" s="37">
        <f t="shared" si="13"/>
        <v>5.3222809040473574E-3</v>
      </c>
      <c r="H136" s="47">
        <v>0</v>
      </c>
      <c r="I136" s="40">
        <f t="shared" si="14"/>
        <v>0</v>
      </c>
      <c r="J136" s="35"/>
      <c r="K136" s="71">
        <v>2.385E-2</v>
      </c>
      <c r="L136" s="53">
        <v>0</v>
      </c>
      <c r="M136" s="37">
        <f t="shared" si="15"/>
        <v>0</v>
      </c>
      <c r="N136" s="59">
        <v>0</v>
      </c>
      <c r="O136" s="42">
        <f t="shared" si="16"/>
        <v>0</v>
      </c>
      <c r="P136" s="35"/>
      <c r="Q136" s="92">
        <f t="shared" si="17"/>
        <v>0</v>
      </c>
      <c r="R136" s="61"/>
      <c r="S136" s="62"/>
    </row>
    <row r="137" spans="1:19">
      <c r="A137" s="1" t="s">
        <v>493</v>
      </c>
      <c r="B137" s="35">
        <v>1351.7</v>
      </c>
      <c r="C137" s="71">
        <v>6.4999999999999997E-3</v>
      </c>
      <c r="D137" s="46">
        <v>499534</v>
      </c>
      <c r="E137" s="37">
        <f t="shared" si="12"/>
        <v>1.9926755111503051E-2</v>
      </c>
      <c r="F137" s="46">
        <v>7605</v>
      </c>
      <c r="G137" s="37">
        <f t="shared" si="13"/>
        <v>2.9635339197012851E-3</v>
      </c>
      <c r="H137" s="47">
        <v>384180</v>
      </c>
      <c r="I137" s="40">
        <f t="shared" si="14"/>
        <v>1.294731563437735E-2</v>
      </c>
      <c r="J137" s="35"/>
      <c r="K137" s="62"/>
      <c r="L137" s="53">
        <v>0</v>
      </c>
      <c r="M137" s="37">
        <f t="shared" si="15"/>
        <v>0</v>
      </c>
      <c r="N137" s="59">
        <v>0</v>
      </c>
      <c r="O137" s="42">
        <f t="shared" si="16"/>
        <v>0</v>
      </c>
      <c r="P137" s="35">
        <v>5017144500</v>
      </c>
      <c r="Q137" s="92">
        <f t="shared" si="17"/>
        <v>2.0614943728546165E-2</v>
      </c>
      <c r="R137" s="61"/>
      <c r="S137" s="62"/>
    </row>
    <row r="138" spans="1:19">
      <c r="A138" s="1" t="s">
        <v>1246</v>
      </c>
      <c r="B138" s="35">
        <v>546</v>
      </c>
      <c r="C138" s="71">
        <v>2.5999999999999999E-3</v>
      </c>
      <c r="D138" s="46">
        <v>55993</v>
      </c>
      <c r="E138" s="37">
        <f t="shared" si="12"/>
        <v>2.2335993124760084E-3</v>
      </c>
      <c r="F138" s="46">
        <v>8324</v>
      </c>
      <c r="G138" s="37">
        <f t="shared" si="13"/>
        <v>3.2437154960675211E-3</v>
      </c>
      <c r="H138" s="47">
        <v>126050</v>
      </c>
      <c r="I138" s="40">
        <f t="shared" si="14"/>
        <v>4.2480325256735512E-3</v>
      </c>
      <c r="J138" s="35"/>
      <c r="K138" s="92">
        <v>1.14E-3</v>
      </c>
      <c r="L138" s="58">
        <v>16125</v>
      </c>
      <c r="M138" s="37">
        <f t="shared" si="15"/>
        <v>2.4888161477169875E-3</v>
      </c>
      <c r="N138" s="59">
        <v>4474</v>
      </c>
      <c r="O138" s="42">
        <f t="shared" si="16"/>
        <v>5.3469110295038585E-4</v>
      </c>
      <c r="P138" s="35">
        <v>1899171000</v>
      </c>
      <c r="Q138" s="92">
        <f t="shared" si="17"/>
        <v>7.8035032269624174E-3</v>
      </c>
      <c r="R138" s="61"/>
      <c r="S138" s="62"/>
    </row>
    <row r="139" spans="1:19">
      <c r="A139" s="1" t="s">
        <v>1247</v>
      </c>
      <c r="B139" s="35">
        <v>138.9</v>
      </c>
      <c r="C139" s="71">
        <v>6.9999999999999999E-4</v>
      </c>
      <c r="D139" s="46">
        <v>0</v>
      </c>
      <c r="E139" s="37">
        <f t="shared" si="12"/>
        <v>0</v>
      </c>
      <c r="F139" s="46">
        <v>1650</v>
      </c>
      <c r="G139" s="37">
        <f t="shared" si="13"/>
        <v>6.4297580111862202E-4</v>
      </c>
      <c r="H139" s="47">
        <v>0</v>
      </c>
      <c r="I139" s="40">
        <f t="shared" si="14"/>
        <v>0</v>
      </c>
      <c r="J139" s="35"/>
      <c r="K139" s="62"/>
      <c r="L139" s="53">
        <v>0</v>
      </c>
      <c r="M139" s="37">
        <f t="shared" si="15"/>
        <v>0</v>
      </c>
      <c r="N139" s="59">
        <v>0</v>
      </c>
      <c r="O139" s="42">
        <f t="shared" si="16"/>
        <v>0</v>
      </c>
      <c r="P139" s="35"/>
      <c r="Q139" s="92">
        <f t="shared" si="17"/>
        <v>0</v>
      </c>
      <c r="R139" s="61"/>
      <c r="S139" s="62"/>
    </row>
    <row r="140" spans="1:19">
      <c r="A140" s="1" t="s">
        <v>506</v>
      </c>
      <c r="B140" s="35">
        <v>541.79999999999995</v>
      </c>
      <c r="C140" s="71">
        <v>2.5999999999999999E-3</v>
      </c>
      <c r="D140" s="46">
        <v>94036</v>
      </c>
      <c r="E140" s="37">
        <f t="shared" si="12"/>
        <v>3.7511607691674657E-3</v>
      </c>
      <c r="F140" s="46">
        <v>4278</v>
      </c>
      <c r="G140" s="37">
        <f t="shared" si="13"/>
        <v>1.6670608952639183E-3</v>
      </c>
      <c r="H140" s="47">
        <v>144070</v>
      </c>
      <c r="I140" s="40">
        <f t="shared" si="14"/>
        <v>4.8553276158174417E-3</v>
      </c>
      <c r="J140" s="35"/>
      <c r="K140" s="62"/>
      <c r="L140" s="53">
        <v>0</v>
      </c>
      <c r="M140" s="37">
        <f t="shared" si="15"/>
        <v>0</v>
      </c>
      <c r="N140" s="59">
        <v>0</v>
      </c>
      <c r="O140" s="42">
        <f t="shared" si="16"/>
        <v>0</v>
      </c>
      <c r="P140" s="35">
        <v>1270021000</v>
      </c>
      <c r="Q140" s="92">
        <f t="shared" si="17"/>
        <v>5.2183889559234194E-3</v>
      </c>
      <c r="R140" s="61"/>
      <c r="S140" s="62"/>
    </row>
    <row r="141" spans="1:19" s="30" customFormat="1" ht="28.7">
      <c r="A141" s="103" t="s">
        <v>1248</v>
      </c>
      <c r="B141" s="104">
        <v>6215.3</v>
      </c>
      <c r="C141" s="105">
        <v>2.98E-2</v>
      </c>
      <c r="D141" s="106">
        <v>82896</v>
      </c>
      <c r="E141" s="107">
        <f t="shared" si="12"/>
        <v>3.3067785010092543E-3</v>
      </c>
      <c r="F141" s="106">
        <v>102853</v>
      </c>
      <c r="G141" s="107">
        <f t="shared" si="13"/>
        <v>4.007999398330523E-2</v>
      </c>
      <c r="H141" s="108">
        <v>1200580</v>
      </c>
      <c r="I141" s="109">
        <f t="shared" si="14"/>
        <v>4.0460951127910767E-2</v>
      </c>
      <c r="J141" s="104"/>
      <c r="K141" s="122"/>
      <c r="L141" s="119">
        <v>0</v>
      </c>
      <c r="M141" s="107">
        <f t="shared" si="15"/>
        <v>0</v>
      </c>
      <c r="N141" s="113">
        <v>0</v>
      </c>
      <c r="O141" s="114">
        <f t="shared" si="16"/>
        <v>0</v>
      </c>
      <c r="P141" s="104"/>
      <c r="Q141" s="116">
        <f t="shared" si="17"/>
        <v>0</v>
      </c>
      <c r="R141" s="104"/>
      <c r="S141" s="122"/>
    </row>
    <row r="142" spans="1:19">
      <c r="A142" s="1" t="s">
        <v>1249</v>
      </c>
      <c r="B142" s="35">
        <v>104.6</v>
      </c>
      <c r="C142" s="71">
        <v>5.0000000000000001E-4</v>
      </c>
      <c r="D142" s="46">
        <v>52038</v>
      </c>
      <c r="E142" s="37">
        <f t="shared" si="12"/>
        <v>2.07583164007334E-3</v>
      </c>
      <c r="F142" s="46">
        <v>306</v>
      </c>
      <c r="G142" s="37">
        <f t="shared" si="13"/>
        <v>1.1924278493472626E-4</v>
      </c>
      <c r="H142" s="47">
        <v>0</v>
      </c>
      <c r="I142" s="40">
        <f t="shared" si="14"/>
        <v>0</v>
      </c>
      <c r="J142" s="35"/>
      <c r="K142" s="62"/>
      <c r="L142" s="58">
        <v>9134</v>
      </c>
      <c r="M142" s="37">
        <f t="shared" si="15"/>
        <v>1.4097889422168661E-3</v>
      </c>
      <c r="N142" s="59">
        <v>0</v>
      </c>
      <c r="O142" s="42">
        <f t="shared" si="16"/>
        <v>0</v>
      </c>
      <c r="P142" s="35"/>
      <c r="Q142" s="92">
        <f t="shared" si="17"/>
        <v>0</v>
      </c>
      <c r="R142" s="61"/>
      <c r="S142" s="62"/>
    </row>
    <row r="143" spans="1:19">
      <c r="A143" s="1" t="s">
        <v>1250</v>
      </c>
      <c r="B143" s="35">
        <v>61.3</v>
      </c>
      <c r="C143" s="71">
        <v>2.9999999999999997E-4</v>
      </c>
      <c r="D143" s="46">
        <v>43901</v>
      </c>
      <c r="E143" s="37">
        <f t="shared" si="12"/>
        <v>1.7512411090137917E-3</v>
      </c>
      <c r="F143" s="46">
        <v>35</v>
      </c>
      <c r="G143" s="37">
        <f t="shared" si="13"/>
        <v>1.3638880629788952E-5</v>
      </c>
      <c r="H143" s="47">
        <v>0</v>
      </c>
      <c r="I143" s="40">
        <f t="shared" si="14"/>
        <v>0</v>
      </c>
      <c r="J143" s="35"/>
      <c r="K143" s="71">
        <v>3.0000000000000001E-5</v>
      </c>
      <c r="L143" s="53">
        <v>0</v>
      </c>
      <c r="M143" s="37">
        <f t="shared" si="15"/>
        <v>0</v>
      </c>
      <c r="N143" s="59">
        <v>0</v>
      </c>
      <c r="O143" s="42">
        <f t="shared" si="16"/>
        <v>0</v>
      </c>
      <c r="P143" s="35"/>
      <c r="Q143" s="92">
        <f t="shared" si="17"/>
        <v>0</v>
      </c>
      <c r="R143" s="61"/>
      <c r="S143" s="62"/>
    </row>
    <row r="144" spans="1:19">
      <c r="A144" s="1" t="s">
        <v>1251</v>
      </c>
      <c r="B144" s="35">
        <v>59.5</v>
      </c>
      <c r="C144" s="71">
        <v>2.9999999999999997E-4</v>
      </c>
      <c r="D144" s="46">
        <v>0</v>
      </c>
      <c r="E144" s="37">
        <f t="shared" si="12"/>
        <v>0</v>
      </c>
      <c r="F144" s="46">
        <v>0</v>
      </c>
      <c r="G144" s="37">
        <f t="shared" si="13"/>
        <v>0</v>
      </c>
      <c r="H144" s="47">
        <v>0</v>
      </c>
      <c r="I144" s="40">
        <f t="shared" si="14"/>
        <v>0</v>
      </c>
      <c r="J144" s="35"/>
      <c r="K144" s="62"/>
      <c r="L144" s="53">
        <v>0</v>
      </c>
      <c r="M144" s="37">
        <f t="shared" si="15"/>
        <v>0</v>
      </c>
      <c r="N144" s="59">
        <v>0</v>
      </c>
      <c r="O144" s="42">
        <f t="shared" si="16"/>
        <v>0</v>
      </c>
      <c r="P144" s="35"/>
      <c r="Q144" s="92">
        <f t="shared" si="17"/>
        <v>0</v>
      </c>
      <c r="R144" s="61"/>
      <c r="S144" s="62"/>
    </row>
    <row r="145" spans="1:19" ht="28.7">
      <c r="A145" s="1" t="s">
        <v>1252</v>
      </c>
      <c r="B145" s="35">
        <v>49.5</v>
      </c>
      <c r="C145" s="71">
        <v>2.0000000000000001E-4</v>
      </c>
      <c r="D145" s="46">
        <v>49519</v>
      </c>
      <c r="E145" s="37">
        <f t="shared" si="12"/>
        <v>1.9753469961334355E-3</v>
      </c>
      <c r="F145" s="46">
        <v>439</v>
      </c>
      <c r="G145" s="37">
        <f t="shared" si="13"/>
        <v>1.7107053132792429E-4</v>
      </c>
      <c r="H145" s="47">
        <v>0</v>
      </c>
      <c r="I145" s="40">
        <f t="shared" si="14"/>
        <v>0</v>
      </c>
      <c r="J145" s="35"/>
      <c r="K145" s="62"/>
      <c r="L145" s="58">
        <v>4975</v>
      </c>
      <c r="M145" s="37">
        <f t="shared" si="15"/>
        <v>7.6786730759020243E-4</v>
      </c>
      <c r="N145" s="59">
        <v>0</v>
      </c>
      <c r="O145" s="42">
        <f t="shared" si="16"/>
        <v>0</v>
      </c>
      <c r="P145" s="35"/>
      <c r="Q145" s="92">
        <f t="shared" si="17"/>
        <v>0</v>
      </c>
      <c r="R145" s="61"/>
      <c r="S145" s="62"/>
    </row>
    <row r="146" spans="1:19" s="30" customFormat="1">
      <c r="A146" s="103" t="s">
        <v>1253</v>
      </c>
      <c r="B146" s="104">
        <v>6650.5</v>
      </c>
      <c r="C146" s="105">
        <v>3.1800000000000002E-2</v>
      </c>
      <c r="D146" s="106">
        <v>813491</v>
      </c>
      <c r="E146" s="107">
        <f t="shared" si="12"/>
        <v>3.2450715952090807E-2</v>
      </c>
      <c r="F146" s="106">
        <v>51038</v>
      </c>
      <c r="G146" s="107">
        <f t="shared" si="13"/>
        <v>1.9888605416661959E-2</v>
      </c>
      <c r="H146" s="108">
        <v>0</v>
      </c>
      <c r="I146" s="109">
        <f t="shared" si="14"/>
        <v>0</v>
      </c>
      <c r="J146" s="104"/>
      <c r="K146" s="122"/>
      <c r="L146" s="112">
        <v>13108</v>
      </c>
      <c r="M146" s="107">
        <f t="shared" si="15"/>
        <v>2.0231567171642962E-3</v>
      </c>
      <c r="N146" s="113">
        <v>0</v>
      </c>
      <c r="O146" s="114">
        <f t="shared" si="16"/>
        <v>0</v>
      </c>
      <c r="P146" s="104"/>
      <c r="Q146" s="116">
        <f t="shared" si="17"/>
        <v>0</v>
      </c>
      <c r="R146" s="104"/>
      <c r="S146" s="122"/>
    </row>
    <row r="147" spans="1:19" ht="229.35">
      <c r="A147" s="1" t="s">
        <v>458</v>
      </c>
      <c r="B147" s="84" t="s">
        <v>1310</v>
      </c>
      <c r="C147" s="71">
        <v>1E-3</v>
      </c>
      <c r="D147" s="46">
        <v>71877</v>
      </c>
      <c r="E147" s="37">
        <f t="shared" si="12"/>
        <v>2.8672230061407328E-3</v>
      </c>
      <c r="F147" s="46">
        <v>2299</v>
      </c>
      <c r="G147" s="37">
        <f t="shared" si="13"/>
        <v>8.9587961622528004E-4</v>
      </c>
      <c r="H147" s="47">
        <v>0</v>
      </c>
      <c r="I147" s="40">
        <f t="shared" si="14"/>
        <v>0</v>
      </c>
      <c r="J147" s="35"/>
      <c r="K147" s="62"/>
      <c r="L147" s="58">
        <v>64625</v>
      </c>
      <c r="M147" s="37">
        <f t="shared" si="15"/>
        <v>9.9745577392998663E-3</v>
      </c>
      <c r="N147" s="59">
        <v>0</v>
      </c>
      <c r="O147" s="42">
        <f t="shared" si="16"/>
        <v>0</v>
      </c>
      <c r="P147" s="35"/>
      <c r="Q147" s="92">
        <f t="shared" si="17"/>
        <v>0</v>
      </c>
      <c r="R147" s="61"/>
      <c r="S147" s="62"/>
    </row>
    <row r="148" spans="1:19">
      <c r="A148" s="1" t="s">
        <v>56</v>
      </c>
      <c r="B148" s="35">
        <v>284.60000000000002</v>
      </c>
      <c r="C148" s="71">
        <v>1.4E-3</v>
      </c>
      <c r="D148" s="46">
        <v>79477</v>
      </c>
      <c r="E148" s="37">
        <f t="shared" si="12"/>
        <v>3.1703922375592611E-3</v>
      </c>
      <c r="F148" s="46">
        <v>1803</v>
      </c>
      <c r="G148" s="37">
        <f t="shared" si="13"/>
        <v>7.0259719358598514E-4</v>
      </c>
      <c r="H148" s="47">
        <v>140310</v>
      </c>
      <c r="I148" s="40">
        <f t="shared" si="14"/>
        <v>4.7286112152102816E-3</v>
      </c>
      <c r="J148" s="35"/>
      <c r="K148" s="62"/>
      <c r="L148" s="53">
        <v>0</v>
      </c>
      <c r="M148" s="37">
        <f t="shared" si="15"/>
        <v>0</v>
      </c>
      <c r="N148" s="59">
        <v>0</v>
      </c>
      <c r="O148" s="42">
        <f t="shared" si="16"/>
        <v>0</v>
      </c>
      <c r="P148" s="35"/>
      <c r="Q148" s="92">
        <f t="shared" si="17"/>
        <v>0</v>
      </c>
      <c r="R148" s="61"/>
      <c r="S148" s="62"/>
    </row>
    <row r="149" spans="1:19">
      <c r="A149" s="1" t="s">
        <v>1254</v>
      </c>
      <c r="B149" s="35">
        <v>26.3</v>
      </c>
      <c r="C149" s="71">
        <v>1E-4</v>
      </c>
      <c r="D149" s="46">
        <v>0</v>
      </c>
      <c r="E149" s="37">
        <f t="shared" si="12"/>
        <v>0</v>
      </c>
      <c r="F149" s="46">
        <v>27</v>
      </c>
      <c r="G149" s="37">
        <f t="shared" si="13"/>
        <v>1.0521422200122905E-5</v>
      </c>
      <c r="H149" s="47">
        <v>0</v>
      </c>
      <c r="I149" s="40">
        <f t="shared" si="14"/>
        <v>0</v>
      </c>
      <c r="J149" s="35"/>
      <c r="K149" s="62"/>
      <c r="L149" s="58">
        <v>2452</v>
      </c>
      <c r="M149" s="37">
        <f t="shared" si="15"/>
        <v>3.7845439964043746E-4</v>
      </c>
      <c r="N149" s="59">
        <v>0</v>
      </c>
      <c r="O149" s="42">
        <f t="shared" si="16"/>
        <v>0</v>
      </c>
      <c r="P149" s="35"/>
      <c r="Q149" s="92">
        <f t="shared" si="17"/>
        <v>0</v>
      </c>
      <c r="R149" s="61"/>
      <c r="S149" s="62"/>
    </row>
    <row r="150" spans="1:19">
      <c r="A150" s="1" t="s">
        <v>1255</v>
      </c>
      <c r="B150" s="35">
        <v>82.3</v>
      </c>
      <c r="C150" s="71">
        <v>4.0000000000000002E-4</v>
      </c>
      <c r="D150" s="46">
        <v>64986</v>
      </c>
      <c r="E150" s="37">
        <f t="shared" si="12"/>
        <v>2.5923362727584853E-3</v>
      </c>
      <c r="F150" s="46">
        <v>223</v>
      </c>
      <c r="G150" s="37">
        <f t="shared" si="13"/>
        <v>8.6899153726941031E-5</v>
      </c>
      <c r="H150" s="47">
        <v>0</v>
      </c>
      <c r="I150" s="40">
        <f t="shared" si="14"/>
        <v>0</v>
      </c>
      <c r="J150" s="35"/>
      <c r="K150" s="62"/>
      <c r="L150" s="58">
        <v>19118</v>
      </c>
      <c r="M150" s="37">
        <f t="shared" si="15"/>
        <v>2.9507712937707517E-3</v>
      </c>
      <c r="N150" s="59">
        <v>0</v>
      </c>
      <c r="O150" s="42">
        <f t="shared" si="16"/>
        <v>0</v>
      </c>
      <c r="P150" s="35"/>
      <c r="Q150" s="92">
        <f t="shared" si="17"/>
        <v>0</v>
      </c>
      <c r="R150" s="61"/>
      <c r="S150" s="62"/>
    </row>
    <row r="151" spans="1:19">
      <c r="A151" s="1" t="s">
        <v>1256</v>
      </c>
      <c r="B151" s="35">
        <v>556.9</v>
      </c>
      <c r="C151" s="71">
        <v>2.7000000000000001E-3</v>
      </c>
      <c r="D151" s="46">
        <v>25551</v>
      </c>
      <c r="E151" s="37">
        <f t="shared" si="12"/>
        <v>1.0192469778914238E-3</v>
      </c>
      <c r="F151" s="46">
        <v>177</v>
      </c>
      <c r="G151" s="37">
        <f t="shared" si="13"/>
        <v>6.8973767756361272E-5</v>
      </c>
      <c r="H151" s="47">
        <v>0</v>
      </c>
      <c r="I151" s="40">
        <f t="shared" si="14"/>
        <v>0</v>
      </c>
      <c r="J151" s="35"/>
      <c r="K151" s="71">
        <v>3.4099999999999998E-3</v>
      </c>
      <c r="L151" s="53">
        <v>0</v>
      </c>
      <c r="M151" s="37">
        <f t="shared" si="15"/>
        <v>0</v>
      </c>
      <c r="N151" s="59">
        <v>0</v>
      </c>
      <c r="O151" s="42">
        <f t="shared" si="16"/>
        <v>0</v>
      </c>
      <c r="P151" s="35"/>
      <c r="Q151" s="92">
        <f t="shared" si="17"/>
        <v>0</v>
      </c>
      <c r="R151" s="61"/>
      <c r="S151" s="62"/>
    </row>
    <row r="152" spans="1:19" ht="28.7">
      <c r="A152" s="1" t="s">
        <v>1257</v>
      </c>
      <c r="B152" s="35">
        <v>321.60000000000002</v>
      </c>
      <c r="C152" s="71">
        <v>1.5E-3</v>
      </c>
      <c r="D152" s="46">
        <v>83216</v>
      </c>
      <c r="E152" s="37">
        <f t="shared" si="12"/>
        <v>3.3195435212795082E-3</v>
      </c>
      <c r="F152" s="46">
        <v>4457</v>
      </c>
      <c r="G152" s="37">
        <f t="shared" si="13"/>
        <v>1.7368140276276961E-3</v>
      </c>
      <c r="H152" s="47">
        <v>128070</v>
      </c>
      <c r="I152" s="40">
        <f t="shared" si="14"/>
        <v>4.316108889829526E-3</v>
      </c>
      <c r="J152" s="35"/>
      <c r="K152" s="62"/>
      <c r="L152" s="53">
        <v>0</v>
      </c>
      <c r="M152" s="37">
        <f t="shared" si="15"/>
        <v>0</v>
      </c>
      <c r="N152" s="59">
        <v>0</v>
      </c>
      <c r="O152" s="42">
        <f t="shared" si="16"/>
        <v>0</v>
      </c>
      <c r="P152" s="35">
        <v>630206000</v>
      </c>
      <c r="Q152" s="92">
        <f t="shared" si="17"/>
        <v>2.589453269163797E-3</v>
      </c>
      <c r="R152" s="61"/>
      <c r="S152" s="62"/>
    </row>
    <row r="153" spans="1:19">
      <c r="A153" s="1" t="s">
        <v>481</v>
      </c>
      <c r="B153" s="35">
        <v>153.6</v>
      </c>
      <c r="C153" s="71">
        <v>6.9999999999999999E-4</v>
      </c>
      <c r="D153" s="46">
        <v>56628</v>
      </c>
      <c r="E153" s="37">
        <f t="shared" si="12"/>
        <v>2.2589298995747934E-3</v>
      </c>
      <c r="F153" s="46">
        <v>1585</v>
      </c>
      <c r="G153" s="37">
        <f t="shared" si="13"/>
        <v>6.1764645137758539E-4</v>
      </c>
      <c r="H153" s="47">
        <v>62950</v>
      </c>
      <c r="I153" s="40">
        <f t="shared" si="14"/>
        <v>2.1214886750587077E-3</v>
      </c>
      <c r="J153" s="35"/>
      <c r="K153" s="62"/>
      <c r="L153" s="53">
        <v>0</v>
      </c>
      <c r="M153" s="37">
        <f t="shared" si="15"/>
        <v>0</v>
      </c>
      <c r="N153" s="59">
        <v>2434</v>
      </c>
      <c r="O153" s="42">
        <f t="shared" si="16"/>
        <v>2.9088916955324971E-4</v>
      </c>
      <c r="P153" s="35">
        <v>585089500</v>
      </c>
      <c r="Q153" s="92">
        <f t="shared" si="17"/>
        <v>2.4040740940714802E-3</v>
      </c>
      <c r="R153" s="61"/>
      <c r="S153" s="62"/>
    </row>
    <row r="154" spans="1:19" ht="28.7">
      <c r="A154" s="1" t="s">
        <v>1258</v>
      </c>
      <c r="B154" s="35">
        <v>51.3</v>
      </c>
      <c r="C154" s="71">
        <v>2.0000000000000001E-4</v>
      </c>
      <c r="D154" s="46">
        <v>43901</v>
      </c>
      <c r="E154" s="37">
        <f t="shared" si="12"/>
        <v>1.7512411090137917E-3</v>
      </c>
      <c r="F154" s="46">
        <v>37</v>
      </c>
      <c r="G154" s="37">
        <f t="shared" si="13"/>
        <v>1.4418245237205463E-5</v>
      </c>
      <c r="H154" s="47">
        <v>0</v>
      </c>
      <c r="I154" s="40">
        <f t="shared" si="14"/>
        <v>0</v>
      </c>
      <c r="J154" s="35"/>
      <c r="K154" s="71">
        <v>6.9999999999999994E-5</v>
      </c>
      <c r="L154" s="53">
        <v>0</v>
      </c>
      <c r="M154" s="37">
        <f t="shared" si="15"/>
        <v>0</v>
      </c>
      <c r="N154" s="59">
        <v>0</v>
      </c>
      <c r="O154" s="42">
        <f t="shared" si="16"/>
        <v>0</v>
      </c>
      <c r="P154" s="35"/>
      <c r="Q154" s="92">
        <f t="shared" si="17"/>
        <v>0</v>
      </c>
      <c r="R154" s="61"/>
      <c r="S154" s="62"/>
    </row>
    <row r="155" spans="1:19">
      <c r="A155" s="1" t="s">
        <v>1259</v>
      </c>
      <c r="B155" s="35">
        <v>55.2</v>
      </c>
      <c r="C155" s="71">
        <v>2.9999999999999997E-4</v>
      </c>
      <c r="D155" s="46">
        <v>10506</v>
      </c>
      <c r="E155" s="37">
        <f t="shared" si="12"/>
        <v>4.19091571747771E-4</v>
      </c>
      <c r="F155" s="46">
        <v>83</v>
      </c>
      <c r="G155" s="37">
        <f t="shared" si="13"/>
        <v>3.234363120778523E-5</v>
      </c>
      <c r="H155" s="47">
        <v>0</v>
      </c>
      <c r="I155" s="40">
        <f t="shared" si="14"/>
        <v>0</v>
      </c>
      <c r="J155" s="35"/>
      <c r="K155" s="62"/>
      <c r="L155" s="58">
        <v>2566</v>
      </c>
      <c r="M155" s="37">
        <f t="shared" si="15"/>
        <v>3.9604975101034358E-4</v>
      </c>
      <c r="N155" s="59">
        <v>0</v>
      </c>
      <c r="O155" s="42">
        <f t="shared" si="16"/>
        <v>0</v>
      </c>
      <c r="P155" s="35"/>
      <c r="Q155" s="92">
        <f t="shared" si="17"/>
        <v>0</v>
      </c>
      <c r="R155" s="61"/>
      <c r="S155" s="62"/>
    </row>
    <row r="156" spans="1:19" s="101" customFormat="1">
      <c r="A156" s="124" t="s">
        <v>25</v>
      </c>
      <c r="B156" s="125">
        <v>1707.9</v>
      </c>
      <c r="C156" s="126">
        <v>8.2000000000000007E-3</v>
      </c>
      <c r="D156" s="127">
        <v>69690</v>
      </c>
      <c r="E156" s="107">
        <f t="shared" si="12"/>
        <v>2.7799820707312167E-3</v>
      </c>
      <c r="F156" s="127">
        <v>17418</v>
      </c>
      <c r="G156" s="107">
        <f t="shared" si="13"/>
        <v>6.7874863659903991E-3</v>
      </c>
      <c r="H156" s="128">
        <v>0</v>
      </c>
      <c r="I156" s="109">
        <f t="shared" si="14"/>
        <v>0</v>
      </c>
      <c r="J156" s="125"/>
      <c r="K156" s="134"/>
      <c r="L156" s="131">
        <v>320652</v>
      </c>
      <c r="M156" s="107">
        <f t="shared" si="15"/>
        <v>4.9491093047922326E-2</v>
      </c>
      <c r="N156" s="132">
        <v>0</v>
      </c>
      <c r="O156" s="114">
        <f t="shared" si="16"/>
        <v>0</v>
      </c>
      <c r="P156" s="125"/>
      <c r="Q156" s="133">
        <f t="shared" si="17"/>
        <v>0</v>
      </c>
      <c r="R156" s="125"/>
      <c r="S156" s="134"/>
    </row>
    <row r="157" spans="1:19">
      <c r="A157" s="1" t="s">
        <v>1260</v>
      </c>
      <c r="B157" s="35">
        <v>143.69999999999999</v>
      </c>
      <c r="C157" s="71">
        <v>6.9999999999999999E-4</v>
      </c>
      <c r="D157" s="46">
        <v>52447</v>
      </c>
      <c r="E157" s="37">
        <f t="shared" si="12"/>
        <v>2.0921469316062579E-3</v>
      </c>
      <c r="F157" s="46">
        <v>1880</v>
      </c>
      <c r="G157" s="37">
        <f t="shared" si="13"/>
        <v>7.3260273097152089E-4</v>
      </c>
      <c r="H157" s="47">
        <v>0</v>
      </c>
      <c r="I157" s="40">
        <f t="shared" si="14"/>
        <v>0</v>
      </c>
      <c r="J157" s="35"/>
      <c r="K157" s="62"/>
      <c r="L157" s="58">
        <v>32655</v>
      </c>
      <c r="M157" s="37">
        <f t="shared" si="15"/>
        <v>5.0401420963533785E-3</v>
      </c>
      <c r="N157" s="59">
        <v>0</v>
      </c>
      <c r="O157" s="42">
        <f t="shared" si="16"/>
        <v>0</v>
      </c>
      <c r="P157" s="35"/>
      <c r="Q157" s="92">
        <f t="shared" si="17"/>
        <v>0</v>
      </c>
      <c r="R157" s="61"/>
      <c r="S157" s="62"/>
    </row>
    <row r="158" spans="1:19">
      <c r="A158" s="1" t="s">
        <v>1033</v>
      </c>
      <c r="B158" s="35">
        <v>4229.8</v>
      </c>
      <c r="C158" s="71">
        <v>2.0299999999999999E-2</v>
      </c>
      <c r="D158" s="46">
        <v>206661</v>
      </c>
      <c r="E158" s="37">
        <f t="shared" si="12"/>
        <v>8.2438495439716448E-3</v>
      </c>
      <c r="F158" s="46">
        <v>37026</v>
      </c>
      <c r="G158" s="37">
        <f t="shared" si="13"/>
        <v>1.4428376977101878E-2</v>
      </c>
      <c r="H158" s="47">
        <v>1020490</v>
      </c>
      <c r="I158" s="40">
        <f t="shared" si="14"/>
        <v>3.4391707355213033E-2</v>
      </c>
      <c r="J158" s="35"/>
      <c r="K158" s="92">
        <v>3.4099999999999998E-3</v>
      </c>
      <c r="L158" s="58">
        <v>69878</v>
      </c>
      <c r="M158" s="37">
        <f t="shared" si="15"/>
        <v>1.0785333009002645E-2</v>
      </c>
      <c r="N158" s="59">
        <v>158638</v>
      </c>
      <c r="O158" s="42">
        <f t="shared" si="16"/>
        <v>1.8958946622673962E-2</v>
      </c>
      <c r="P158" s="35">
        <v>23517013500</v>
      </c>
      <c r="Q158" s="92">
        <f t="shared" si="17"/>
        <v>9.6629050641447625E-2</v>
      </c>
      <c r="R158" s="61"/>
      <c r="S158" s="62"/>
    </row>
    <row r="159" spans="1:19">
      <c r="A159" s="1" t="s">
        <v>1111</v>
      </c>
      <c r="B159" s="35">
        <v>381.7</v>
      </c>
      <c r="C159" s="71">
        <v>1.8E-3</v>
      </c>
      <c r="D159" s="46">
        <v>96296</v>
      </c>
      <c r="E159" s="37">
        <f t="shared" si="12"/>
        <v>3.8413137248261334E-3</v>
      </c>
      <c r="F159" s="46">
        <v>7491</v>
      </c>
      <c r="G159" s="37">
        <f t="shared" si="13"/>
        <v>2.9191101370785438E-3</v>
      </c>
      <c r="H159" s="47">
        <v>0</v>
      </c>
      <c r="I159" s="40">
        <f t="shared" si="14"/>
        <v>0</v>
      </c>
      <c r="J159" s="35"/>
      <c r="K159" s="71">
        <v>5.8100000000000001E-3</v>
      </c>
      <c r="L159" s="53">
        <v>0</v>
      </c>
      <c r="M159" s="37">
        <f t="shared" si="15"/>
        <v>0</v>
      </c>
      <c r="N159" s="59">
        <v>0</v>
      </c>
      <c r="O159" s="42">
        <f t="shared" si="16"/>
        <v>0</v>
      </c>
      <c r="P159" s="35"/>
      <c r="Q159" s="92">
        <f t="shared" si="17"/>
        <v>0</v>
      </c>
      <c r="R159" s="61"/>
      <c r="S159" s="62"/>
    </row>
    <row r="160" spans="1:19" ht="28.7">
      <c r="A160" s="1" t="s">
        <v>1261</v>
      </c>
      <c r="B160" s="35">
        <v>27.5</v>
      </c>
      <c r="C160" s="71">
        <v>1E-4</v>
      </c>
      <c r="D160" s="46">
        <v>13778</v>
      </c>
      <c r="E160" s="37">
        <f t="shared" si="12"/>
        <v>5.4961390401111641E-4</v>
      </c>
      <c r="F160" s="46">
        <v>638</v>
      </c>
      <c r="G160" s="37">
        <f t="shared" si="13"/>
        <v>2.4861730976586717E-4</v>
      </c>
      <c r="H160" s="47">
        <v>0</v>
      </c>
      <c r="I160" s="40">
        <f t="shared" si="14"/>
        <v>0</v>
      </c>
      <c r="J160" s="35"/>
      <c r="K160" s="62"/>
      <c r="L160" s="53">
        <v>0</v>
      </c>
      <c r="M160" s="37">
        <f t="shared" si="15"/>
        <v>0</v>
      </c>
      <c r="N160" s="59">
        <v>0</v>
      </c>
      <c r="O160" s="42">
        <f t="shared" si="16"/>
        <v>0</v>
      </c>
      <c r="P160" s="35"/>
      <c r="Q160" s="92">
        <f t="shared" si="17"/>
        <v>0</v>
      </c>
      <c r="R160" s="61"/>
      <c r="S160" s="62"/>
    </row>
    <row r="161" spans="1:19">
      <c r="A161" s="1" t="s">
        <v>1262</v>
      </c>
      <c r="B161" s="35">
        <v>55.2</v>
      </c>
      <c r="C161" s="71">
        <v>2.9999999999999997E-4</v>
      </c>
      <c r="D161" s="46">
        <v>30532</v>
      </c>
      <c r="E161" s="37">
        <f t="shared" si="12"/>
        <v>1.2179424965355935E-3</v>
      </c>
      <c r="F161" s="46">
        <v>74</v>
      </c>
      <c r="G161" s="37">
        <f t="shared" si="13"/>
        <v>2.8836490474410926E-5</v>
      </c>
      <c r="H161" s="47">
        <v>0</v>
      </c>
      <c r="I161" s="40">
        <f t="shared" si="14"/>
        <v>0</v>
      </c>
      <c r="J161" s="35"/>
      <c r="K161" s="62"/>
      <c r="L161" s="53">
        <v>0</v>
      </c>
      <c r="M161" s="37">
        <f t="shared" si="15"/>
        <v>0</v>
      </c>
      <c r="N161" s="59">
        <v>0</v>
      </c>
      <c r="O161" s="42">
        <f t="shared" si="16"/>
        <v>0</v>
      </c>
      <c r="P161" s="35"/>
      <c r="Q161" s="92">
        <f t="shared" si="17"/>
        <v>0</v>
      </c>
      <c r="R161" s="61"/>
      <c r="S161" s="62"/>
    </row>
    <row r="162" spans="1:19" ht="43">
      <c r="A162" s="1" t="s">
        <v>1263</v>
      </c>
      <c r="B162" s="35">
        <v>27.8</v>
      </c>
      <c r="C162" s="71">
        <v>1E-4</v>
      </c>
      <c r="D162" s="46">
        <v>46546</v>
      </c>
      <c r="E162" s="37">
        <f t="shared" si="12"/>
        <v>1.8567519796851084E-3</v>
      </c>
      <c r="F162" s="46">
        <v>0</v>
      </c>
      <c r="G162" s="37">
        <f t="shared" si="13"/>
        <v>0</v>
      </c>
      <c r="H162" s="47">
        <v>0</v>
      </c>
      <c r="I162" s="40">
        <f t="shared" si="14"/>
        <v>0</v>
      </c>
      <c r="J162" s="35"/>
      <c r="K162" s="62"/>
      <c r="L162" s="53">
        <v>0</v>
      </c>
      <c r="M162" s="37">
        <f t="shared" si="15"/>
        <v>0</v>
      </c>
      <c r="N162" s="59">
        <v>0</v>
      </c>
      <c r="O162" s="42">
        <f t="shared" si="16"/>
        <v>0</v>
      </c>
      <c r="P162" s="35"/>
      <c r="Q162" s="92">
        <f t="shared" si="17"/>
        <v>0</v>
      </c>
      <c r="R162" s="61"/>
      <c r="S162" s="62"/>
    </row>
    <row r="163" spans="1:19">
      <c r="A163" s="1" t="s">
        <v>1264</v>
      </c>
      <c r="B163" s="35">
        <v>85</v>
      </c>
      <c r="C163" s="71">
        <v>4.0000000000000002E-4</v>
      </c>
      <c r="D163" s="46">
        <v>62550</v>
      </c>
      <c r="E163" s="37">
        <f t="shared" si="12"/>
        <v>2.4951625559511783E-3</v>
      </c>
      <c r="F163" s="46">
        <v>111</v>
      </c>
      <c r="G163" s="37">
        <f t="shared" si="13"/>
        <v>4.3254735711616387E-5</v>
      </c>
      <c r="H163" s="47">
        <v>0</v>
      </c>
      <c r="I163" s="40">
        <f t="shared" si="14"/>
        <v>0</v>
      </c>
      <c r="J163" s="35"/>
      <c r="K163" s="62"/>
      <c r="L163" s="58">
        <v>22036</v>
      </c>
      <c r="M163" s="37">
        <f t="shared" si="15"/>
        <v>3.4011505507653668E-3</v>
      </c>
      <c r="N163" s="59">
        <v>0</v>
      </c>
      <c r="O163" s="42">
        <f t="shared" si="16"/>
        <v>0</v>
      </c>
      <c r="P163" s="35"/>
      <c r="Q163" s="92">
        <f t="shared" si="17"/>
        <v>0</v>
      </c>
      <c r="R163" s="61"/>
      <c r="S163" s="62"/>
    </row>
    <row r="164" spans="1:19">
      <c r="A164" s="1" t="s">
        <v>1265</v>
      </c>
      <c r="B164" s="35">
        <v>41.2</v>
      </c>
      <c r="C164" s="71">
        <v>2.0000000000000001E-4</v>
      </c>
      <c r="D164" s="46">
        <v>0</v>
      </c>
      <c r="E164" s="37">
        <f t="shared" si="12"/>
        <v>0</v>
      </c>
      <c r="F164" s="46">
        <v>620</v>
      </c>
      <c r="G164" s="37">
        <f t="shared" si="13"/>
        <v>2.4160302829911857E-4</v>
      </c>
      <c r="H164" s="47">
        <v>0</v>
      </c>
      <c r="I164" s="40">
        <f t="shared" si="14"/>
        <v>0</v>
      </c>
      <c r="J164" s="35"/>
      <c r="K164" s="62"/>
      <c r="L164" s="53">
        <v>0</v>
      </c>
      <c r="M164" s="37">
        <f t="shared" si="15"/>
        <v>0</v>
      </c>
      <c r="N164" s="59">
        <v>7342</v>
      </c>
      <c r="O164" s="42">
        <f t="shared" si="16"/>
        <v>8.7744793872635962E-4</v>
      </c>
      <c r="P164" s="35"/>
      <c r="Q164" s="92">
        <f t="shared" si="17"/>
        <v>0</v>
      </c>
      <c r="R164" s="61"/>
      <c r="S164" s="62"/>
    </row>
    <row r="165" spans="1:19">
      <c r="A165" s="1" t="s">
        <v>1266</v>
      </c>
      <c r="B165" s="35">
        <v>44</v>
      </c>
      <c r="C165" s="71">
        <v>2.0000000000000001E-4</v>
      </c>
      <c r="D165" s="46">
        <v>19022</v>
      </c>
      <c r="E165" s="37">
        <f t="shared" si="12"/>
        <v>7.5880067368990108E-4</v>
      </c>
      <c r="F165" s="46">
        <v>684</v>
      </c>
      <c r="G165" s="37">
        <f t="shared" si="13"/>
        <v>2.6654269573644695E-4</v>
      </c>
      <c r="H165" s="47">
        <v>0</v>
      </c>
      <c r="I165" s="40">
        <f t="shared" si="14"/>
        <v>0</v>
      </c>
      <c r="J165" s="35"/>
      <c r="K165" s="62"/>
      <c r="L165" s="58">
        <v>8010</v>
      </c>
      <c r="M165" s="37">
        <f t="shared" si="15"/>
        <v>1.2363049515170896E-3</v>
      </c>
      <c r="N165" s="59">
        <v>0</v>
      </c>
      <c r="O165" s="42">
        <f t="shared" si="16"/>
        <v>0</v>
      </c>
      <c r="P165" s="35"/>
      <c r="Q165" s="92">
        <f t="shared" si="17"/>
        <v>0</v>
      </c>
      <c r="R165" s="61"/>
      <c r="S165" s="62"/>
    </row>
    <row r="166" spans="1:19" ht="25.35">
      <c r="A166" s="1" t="s">
        <v>1034</v>
      </c>
      <c r="B166" s="35">
        <v>1899.6</v>
      </c>
      <c r="C166" s="71">
        <v>9.1000000000000004E-3</v>
      </c>
      <c r="D166" s="46">
        <v>495401</v>
      </c>
      <c r="E166" s="37">
        <f t="shared" si="12"/>
        <v>1.9761886896575053E-2</v>
      </c>
      <c r="F166" s="46">
        <v>26876</v>
      </c>
      <c r="G166" s="37">
        <f t="shared" si="13"/>
        <v>1.0473101594463081E-2</v>
      </c>
      <c r="H166" s="47">
        <v>684320</v>
      </c>
      <c r="I166" s="40">
        <f t="shared" si="14"/>
        <v>2.3062384910503171E-2</v>
      </c>
      <c r="J166" s="35"/>
      <c r="K166" s="92">
        <v>3.4099999999999998E-3</v>
      </c>
      <c r="L166" s="58">
        <v>100182</v>
      </c>
      <c r="M166" s="37">
        <f t="shared" si="15"/>
        <v>1.5462609569648575E-2</v>
      </c>
      <c r="N166" s="59">
        <v>27268</v>
      </c>
      <c r="O166" s="42">
        <f t="shared" si="16"/>
        <v>3.2588191764083862E-3</v>
      </c>
      <c r="P166" s="35">
        <v>7207577000</v>
      </c>
      <c r="Q166" s="92">
        <f t="shared" si="17"/>
        <v>2.9615211256953745E-2</v>
      </c>
      <c r="R166" s="68" t="s">
        <v>1267</v>
      </c>
      <c r="S166" s="69">
        <v>0.34599999999999997</v>
      </c>
    </row>
    <row r="167" spans="1:19">
      <c r="A167" s="22" t="s">
        <v>1268</v>
      </c>
      <c r="B167" s="35">
        <v>3264.6</v>
      </c>
      <c r="C167" s="71">
        <v>1.5599999999999999E-2</v>
      </c>
      <c r="D167" s="45">
        <v>284044</v>
      </c>
      <c r="E167" s="37">
        <f t="shared" si="12"/>
        <v>1.1330710680137433E-2</v>
      </c>
      <c r="F167" s="45">
        <v>44063</v>
      </c>
      <c r="G167" s="37">
        <f t="shared" si="13"/>
        <v>1.7170571348296873E-2</v>
      </c>
      <c r="H167" s="47">
        <v>684320</v>
      </c>
      <c r="I167" s="40">
        <f t="shared" si="14"/>
        <v>2.3062384910503171E-2</v>
      </c>
      <c r="J167" s="61"/>
      <c r="K167" s="92">
        <v>5.8399999999999997E-3</v>
      </c>
      <c r="L167" s="58">
        <v>95594</v>
      </c>
      <c r="M167" s="37">
        <f t="shared" si="15"/>
        <v>1.4754473849603579E-2</v>
      </c>
      <c r="N167" s="59">
        <v>39347</v>
      </c>
      <c r="O167" s="42">
        <f t="shared" si="16"/>
        <v>4.7023895457730955E-3</v>
      </c>
      <c r="P167" s="35"/>
      <c r="Q167" s="92">
        <f t="shared" si="17"/>
        <v>0</v>
      </c>
      <c r="R167" s="61"/>
      <c r="S167" s="62"/>
    </row>
    <row r="168" spans="1:19" ht="28.7">
      <c r="A168" s="22" t="s">
        <v>1269</v>
      </c>
      <c r="B168" s="35">
        <v>220.2</v>
      </c>
      <c r="C168" s="71">
        <v>1.1000000000000001E-3</v>
      </c>
      <c r="D168" s="45">
        <v>11027</v>
      </c>
      <c r="E168" s="37">
        <f t="shared" si="12"/>
        <v>4.3987462037527804E-4</v>
      </c>
      <c r="F168" s="45">
        <v>194</v>
      </c>
      <c r="G168" s="37">
        <f t="shared" si="13"/>
        <v>7.5598366919401618E-5</v>
      </c>
      <c r="H168" s="47">
        <v>0</v>
      </c>
      <c r="I168" s="40">
        <f t="shared" si="14"/>
        <v>0</v>
      </c>
      <c r="J168" s="61"/>
      <c r="K168" s="62"/>
      <c r="L168" s="50">
        <v>0</v>
      </c>
      <c r="M168" s="37">
        <f t="shared" si="15"/>
        <v>0</v>
      </c>
      <c r="N168" s="59">
        <v>0</v>
      </c>
      <c r="O168" s="42">
        <f t="shared" si="16"/>
        <v>0</v>
      </c>
      <c r="P168" s="35"/>
      <c r="Q168" s="92">
        <f t="shared" si="17"/>
        <v>0</v>
      </c>
      <c r="R168" s="61"/>
      <c r="S168" s="62"/>
    </row>
    <row r="169" spans="1:19">
      <c r="A169" s="22" t="s">
        <v>439</v>
      </c>
      <c r="B169" s="35">
        <v>106</v>
      </c>
      <c r="C169" s="71">
        <v>5.0000000000000001E-4</v>
      </c>
      <c r="D169" s="45">
        <v>53918</v>
      </c>
      <c r="E169" s="37">
        <f t="shared" si="12"/>
        <v>2.1508261341610809E-3</v>
      </c>
      <c r="F169" s="45">
        <v>1212</v>
      </c>
      <c r="G169" s="37">
        <f t="shared" si="13"/>
        <v>4.7229495209440597E-4</v>
      </c>
      <c r="H169" s="47">
        <v>21010</v>
      </c>
      <c r="I169" s="40">
        <f t="shared" si="14"/>
        <v>7.080615895628823E-4</v>
      </c>
      <c r="J169" s="61"/>
      <c r="K169" s="71">
        <v>2.8700000000000002E-3</v>
      </c>
      <c r="L169" s="50">
        <v>0</v>
      </c>
      <c r="M169" s="37">
        <f t="shared" si="15"/>
        <v>0</v>
      </c>
      <c r="N169" s="59">
        <v>0</v>
      </c>
      <c r="O169" s="42">
        <f t="shared" si="16"/>
        <v>0</v>
      </c>
      <c r="P169" s="35"/>
      <c r="Q169" s="92">
        <f t="shared" si="17"/>
        <v>0</v>
      </c>
      <c r="R169" s="61"/>
      <c r="S169" s="62"/>
    </row>
    <row r="170" spans="1:19">
      <c r="A170" s="22" t="s">
        <v>1270</v>
      </c>
      <c r="B170" s="35">
        <v>129.5</v>
      </c>
      <c r="C170" s="71">
        <v>5.9999999999999995E-4</v>
      </c>
      <c r="D170" s="45">
        <v>68943</v>
      </c>
      <c r="E170" s="37">
        <f t="shared" si="12"/>
        <v>2.7501837265378427E-3</v>
      </c>
      <c r="F170" s="45">
        <v>1003</v>
      </c>
      <c r="G170" s="37">
        <f t="shared" si="13"/>
        <v>3.9085135061938054E-4</v>
      </c>
      <c r="H170" s="47">
        <v>0</v>
      </c>
      <c r="I170" s="40">
        <f t="shared" si="14"/>
        <v>0</v>
      </c>
      <c r="J170" s="61"/>
      <c r="K170" s="62"/>
      <c r="L170" s="58">
        <v>46880</v>
      </c>
      <c r="M170" s="37">
        <f t="shared" si="15"/>
        <v>7.2357023879052644E-3</v>
      </c>
      <c r="N170" s="59">
        <v>0</v>
      </c>
      <c r="O170" s="42">
        <f t="shared" si="16"/>
        <v>0</v>
      </c>
      <c r="P170" s="35"/>
      <c r="Q170" s="92">
        <f t="shared" si="17"/>
        <v>0</v>
      </c>
      <c r="R170" s="61"/>
      <c r="S170" s="62"/>
    </row>
    <row r="171" spans="1:19">
      <c r="A171" s="22" t="s">
        <v>221</v>
      </c>
      <c r="B171" s="35">
        <v>1017.1</v>
      </c>
      <c r="C171" s="71">
        <v>4.8999999999999998E-3</v>
      </c>
      <c r="D171" s="45">
        <v>98596</v>
      </c>
      <c r="E171" s="37">
        <f t="shared" si="12"/>
        <v>3.9330623080185831E-3</v>
      </c>
      <c r="F171" s="45">
        <v>11781</v>
      </c>
      <c r="G171" s="37">
        <f t="shared" si="13"/>
        <v>4.5908472199869613E-3</v>
      </c>
      <c r="H171" s="47">
        <v>0</v>
      </c>
      <c r="I171" s="40">
        <f t="shared" si="14"/>
        <v>0</v>
      </c>
      <c r="J171" s="61"/>
      <c r="K171" s="71">
        <v>1.363E-2</v>
      </c>
      <c r="L171" s="50">
        <v>0</v>
      </c>
      <c r="M171" s="37">
        <f t="shared" si="15"/>
        <v>0</v>
      </c>
      <c r="N171" s="59">
        <v>0</v>
      </c>
      <c r="O171" s="42">
        <f t="shared" si="16"/>
        <v>0</v>
      </c>
      <c r="P171" s="35"/>
      <c r="Q171" s="92">
        <f t="shared" si="17"/>
        <v>0</v>
      </c>
      <c r="R171" s="61"/>
      <c r="S171" s="62"/>
    </row>
    <row r="172" spans="1:19">
      <c r="A172" s="22" t="s">
        <v>1271</v>
      </c>
      <c r="B172" s="35">
        <v>51.7</v>
      </c>
      <c r="C172" s="71">
        <v>2.0000000000000001E-4</v>
      </c>
      <c r="D172" s="45">
        <v>45123</v>
      </c>
      <c r="E172" s="37">
        <f t="shared" si="12"/>
        <v>1.7999875301708235E-3</v>
      </c>
      <c r="F172" s="45">
        <v>777</v>
      </c>
      <c r="G172" s="37">
        <f t="shared" si="13"/>
        <v>3.0278314998131474E-4</v>
      </c>
      <c r="H172" s="47">
        <v>0</v>
      </c>
      <c r="I172" s="40">
        <f t="shared" si="14"/>
        <v>0</v>
      </c>
      <c r="J172" s="61"/>
      <c r="K172" s="71">
        <v>1E-4</v>
      </c>
      <c r="L172" s="50">
        <v>0</v>
      </c>
      <c r="M172" s="37">
        <f t="shared" si="15"/>
        <v>0</v>
      </c>
      <c r="N172" s="59">
        <v>0</v>
      </c>
      <c r="O172" s="42">
        <f t="shared" si="16"/>
        <v>0</v>
      </c>
      <c r="P172" s="35"/>
      <c r="Q172" s="92">
        <f t="shared" si="17"/>
        <v>0</v>
      </c>
      <c r="R172" s="61"/>
      <c r="S172" s="62"/>
    </row>
    <row r="173" spans="1:19">
      <c r="A173" s="22" t="s">
        <v>1272</v>
      </c>
      <c r="B173" s="35">
        <v>110.5</v>
      </c>
      <c r="C173" s="71">
        <v>5.0000000000000001E-4</v>
      </c>
      <c r="D173" s="45">
        <v>57838</v>
      </c>
      <c r="E173" s="37">
        <f t="shared" si="12"/>
        <v>2.3071976324716905E-3</v>
      </c>
      <c r="F173" s="45">
        <v>808</v>
      </c>
      <c r="G173" s="37">
        <f t="shared" si="13"/>
        <v>3.1486330139627065E-4</v>
      </c>
      <c r="H173" s="47">
        <v>0</v>
      </c>
      <c r="I173" s="40">
        <f t="shared" si="14"/>
        <v>0</v>
      </c>
      <c r="J173" s="61"/>
      <c r="K173" s="62"/>
      <c r="L173" s="58">
        <v>10730</v>
      </c>
      <c r="M173" s="37">
        <f t="shared" si="15"/>
        <v>1.6561238613955521E-3</v>
      </c>
      <c r="N173" s="59">
        <v>0</v>
      </c>
      <c r="O173" s="42">
        <f t="shared" si="16"/>
        <v>0</v>
      </c>
      <c r="P173" s="35"/>
      <c r="Q173" s="92">
        <f t="shared" si="17"/>
        <v>0</v>
      </c>
      <c r="R173" s="61"/>
      <c r="S173" s="62"/>
    </row>
    <row r="174" spans="1:19">
      <c r="A174" s="22" t="s">
        <v>1273</v>
      </c>
      <c r="B174" s="35">
        <v>49.4</v>
      </c>
      <c r="C174" s="71">
        <v>2.0000000000000001E-4</v>
      </c>
      <c r="D174" s="45">
        <v>49673</v>
      </c>
      <c r="E174" s="37">
        <f t="shared" si="12"/>
        <v>1.9814901621384952E-3</v>
      </c>
      <c r="F174" s="45">
        <v>34</v>
      </c>
      <c r="G174" s="37">
        <f t="shared" si="13"/>
        <v>1.3249198326080696E-5</v>
      </c>
      <c r="H174" s="47">
        <v>0</v>
      </c>
      <c r="I174" s="40">
        <f t="shared" si="14"/>
        <v>0</v>
      </c>
      <c r="J174" s="61"/>
      <c r="K174" s="71">
        <v>4.0000000000000003E-5</v>
      </c>
      <c r="L174" s="50">
        <v>0</v>
      </c>
      <c r="M174" s="37">
        <f t="shared" si="15"/>
        <v>0</v>
      </c>
      <c r="N174" s="59">
        <v>0</v>
      </c>
      <c r="O174" s="42">
        <f t="shared" si="16"/>
        <v>0</v>
      </c>
      <c r="P174" s="35"/>
      <c r="Q174" s="92">
        <f t="shared" si="17"/>
        <v>0</v>
      </c>
      <c r="R174" s="61"/>
      <c r="S174" s="62"/>
    </row>
    <row r="175" spans="1:19" ht="28.7">
      <c r="A175" s="22" t="s">
        <v>1274</v>
      </c>
      <c r="B175" s="35">
        <v>266.39999999999998</v>
      </c>
      <c r="C175" s="71">
        <v>1.2999999999999999E-3</v>
      </c>
      <c r="D175" s="45">
        <v>75722</v>
      </c>
      <c r="E175" s="37">
        <f t="shared" si="12"/>
        <v>3.0206027028255012E-3</v>
      </c>
      <c r="F175" s="45">
        <v>4112</v>
      </c>
      <c r="G175" s="37">
        <f t="shared" si="13"/>
        <v>1.6023736328483478E-3</v>
      </c>
      <c r="H175" s="47">
        <v>0</v>
      </c>
      <c r="I175" s="40">
        <f t="shared" si="14"/>
        <v>0</v>
      </c>
      <c r="J175" s="61"/>
      <c r="K175" s="62"/>
      <c r="L175" s="50">
        <v>0</v>
      </c>
      <c r="M175" s="37">
        <f t="shared" si="15"/>
        <v>0</v>
      </c>
      <c r="N175" s="59">
        <v>36121</v>
      </c>
      <c r="O175" s="42">
        <f t="shared" si="16"/>
        <v>4.3168478609009577E-3</v>
      </c>
      <c r="P175" s="35"/>
      <c r="Q175" s="92">
        <f t="shared" si="17"/>
        <v>0</v>
      </c>
      <c r="R175" s="61"/>
      <c r="S175" s="62"/>
    </row>
    <row r="176" spans="1:19">
      <c r="A176" s="22" t="s">
        <v>1275</v>
      </c>
      <c r="B176" s="35">
        <v>71.900000000000006</v>
      </c>
      <c r="C176" s="71">
        <v>2.9999999999999997E-4</v>
      </c>
      <c r="D176" s="45">
        <v>2793</v>
      </c>
      <c r="E176" s="37">
        <f t="shared" si="12"/>
        <v>1.114146925463092E-4</v>
      </c>
      <c r="F176" s="45">
        <v>3566</v>
      </c>
      <c r="G176" s="37">
        <f t="shared" si="13"/>
        <v>1.3896070950236402E-3</v>
      </c>
      <c r="H176" s="47">
        <v>9860</v>
      </c>
      <c r="I176" s="40">
        <f t="shared" si="14"/>
        <v>3.3229353989005329E-4</v>
      </c>
      <c r="J176" s="61"/>
      <c r="K176" s="62"/>
      <c r="L176" s="58">
        <v>90800</v>
      </c>
      <c r="M176" s="37">
        <f t="shared" si="15"/>
        <v>1.401454302094279E-2</v>
      </c>
      <c r="N176" s="59">
        <v>0</v>
      </c>
      <c r="O176" s="42">
        <f t="shared" si="16"/>
        <v>0</v>
      </c>
      <c r="P176" s="35"/>
      <c r="Q176" s="92">
        <f t="shared" si="17"/>
        <v>0</v>
      </c>
      <c r="R176" s="61"/>
      <c r="S176" s="62"/>
    </row>
    <row r="177" spans="1:19" s="30" customFormat="1">
      <c r="A177" s="124" t="s">
        <v>36</v>
      </c>
      <c r="B177" s="125">
        <v>2564.3000000000002</v>
      </c>
      <c r="C177" s="126">
        <v>1.23E-2</v>
      </c>
      <c r="D177" s="127">
        <v>151314</v>
      </c>
      <c r="E177" s="107">
        <f t="shared" si="12"/>
        <v>6.0360196161662119E-3</v>
      </c>
      <c r="F177" s="127">
        <v>15837</v>
      </c>
      <c r="G177" s="107">
        <f t="shared" si="13"/>
        <v>6.1713986438276464E-3</v>
      </c>
      <c r="H177" s="128">
        <v>345150</v>
      </c>
      <c r="I177" s="109">
        <f t="shared" si="14"/>
        <v>1.1631958954670578E-2</v>
      </c>
      <c r="J177" s="125"/>
      <c r="K177" s="133">
        <v>3.3999999999999998E-3</v>
      </c>
      <c r="L177" s="131">
        <v>21911</v>
      </c>
      <c r="M177" s="107">
        <f t="shared" si="15"/>
        <v>3.3818574023334524E-3</v>
      </c>
      <c r="N177" s="132">
        <v>0</v>
      </c>
      <c r="O177" s="114">
        <f t="shared" si="16"/>
        <v>0</v>
      </c>
      <c r="P177" s="125"/>
      <c r="Q177" s="133">
        <f t="shared" si="17"/>
        <v>0</v>
      </c>
      <c r="R177" s="125"/>
      <c r="S177" s="134"/>
    </row>
    <row r="178" spans="1:19" ht="28.7">
      <c r="A178" s="22" t="s">
        <v>1276</v>
      </c>
      <c r="B178" s="35">
        <v>52.6</v>
      </c>
      <c r="C178" s="71">
        <v>2.9999999999999997E-4</v>
      </c>
      <c r="D178" s="45">
        <v>0</v>
      </c>
      <c r="E178" s="37">
        <f t="shared" si="12"/>
        <v>0</v>
      </c>
      <c r="F178" s="45">
        <v>810</v>
      </c>
      <c r="G178" s="37">
        <f t="shared" si="13"/>
        <v>3.1564266600368719E-4</v>
      </c>
      <c r="H178" s="47">
        <v>2100</v>
      </c>
      <c r="I178" s="40">
        <f t="shared" si="14"/>
        <v>7.0772457785913987E-5</v>
      </c>
      <c r="J178" s="61"/>
      <c r="K178" s="71">
        <v>2.5300000000000001E-3</v>
      </c>
      <c r="L178" s="50">
        <v>0</v>
      </c>
      <c r="M178" s="37">
        <f t="shared" si="15"/>
        <v>0</v>
      </c>
      <c r="N178" s="59">
        <v>0</v>
      </c>
      <c r="O178" s="42">
        <f t="shared" si="16"/>
        <v>0</v>
      </c>
      <c r="P178" s="35"/>
      <c r="Q178" s="92">
        <f t="shared" si="17"/>
        <v>0</v>
      </c>
      <c r="R178" s="61"/>
      <c r="S178" s="62"/>
    </row>
    <row r="179" spans="1:19">
      <c r="A179" s="22" t="s">
        <v>1277</v>
      </c>
      <c r="B179" s="35">
        <v>46.1</v>
      </c>
      <c r="C179" s="71">
        <v>2.0000000000000001E-4</v>
      </c>
      <c r="D179" s="45">
        <v>6338</v>
      </c>
      <c r="E179" s="37">
        <f t="shared" si="12"/>
        <v>2.5282718272771491E-4</v>
      </c>
      <c r="F179" s="45">
        <v>0</v>
      </c>
      <c r="G179" s="37">
        <f t="shared" si="13"/>
        <v>0</v>
      </c>
      <c r="H179" s="47">
        <v>0</v>
      </c>
      <c r="I179" s="40">
        <f t="shared" si="14"/>
        <v>0</v>
      </c>
      <c r="J179" s="61"/>
      <c r="K179" s="71">
        <v>1.0000000000000001E-5</v>
      </c>
      <c r="L179" s="50">
        <v>0</v>
      </c>
      <c r="M179" s="37">
        <f t="shared" si="15"/>
        <v>0</v>
      </c>
      <c r="N179" s="59">
        <v>0</v>
      </c>
      <c r="O179" s="42">
        <f t="shared" si="16"/>
        <v>0</v>
      </c>
      <c r="P179" s="35"/>
      <c r="Q179" s="92">
        <f t="shared" si="17"/>
        <v>0</v>
      </c>
      <c r="R179" s="61"/>
      <c r="S179" s="62"/>
    </row>
    <row r="180" spans="1:19">
      <c r="A180" s="22" t="s">
        <v>1278</v>
      </c>
      <c r="B180" s="35">
        <v>61.7</v>
      </c>
      <c r="C180" s="71">
        <v>2.9999999999999997E-4</v>
      </c>
      <c r="D180" s="45">
        <v>47092</v>
      </c>
      <c r="E180" s="37">
        <f t="shared" si="12"/>
        <v>1.878532295521229E-3</v>
      </c>
      <c r="F180" s="45">
        <v>735</v>
      </c>
      <c r="G180" s="37">
        <f t="shared" si="13"/>
        <v>2.8641649322556798E-4</v>
      </c>
      <c r="H180" s="47">
        <v>0</v>
      </c>
      <c r="I180" s="40">
        <f t="shared" si="14"/>
        <v>0</v>
      </c>
      <c r="J180" s="61"/>
      <c r="K180" s="62"/>
      <c r="L180" s="58">
        <v>29646</v>
      </c>
      <c r="M180" s="37">
        <f t="shared" si="15"/>
        <v>4.5757174273003296E-3</v>
      </c>
      <c r="N180" s="59">
        <v>0</v>
      </c>
      <c r="O180" s="42">
        <f t="shared" si="16"/>
        <v>0</v>
      </c>
      <c r="P180" s="35"/>
      <c r="Q180" s="92">
        <f t="shared" si="17"/>
        <v>0</v>
      </c>
      <c r="R180" s="61"/>
      <c r="S180" s="62"/>
    </row>
    <row r="181" spans="1:19">
      <c r="A181" s="22" t="s">
        <v>368</v>
      </c>
      <c r="B181" s="35">
        <v>1097.7</v>
      </c>
      <c r="C181" s="71">
        <v>5.3E-3</v>
      </c>
      <c r="D181" s="45">
        <v>115569</v>
      </c>
      <c r="E181" s="37">
        <f t="shared" si="12"/>
        <v>4.6101269612905151E-3</v>
      </c>
      <c r="F181" s="45">
        <v>10159</v>
      </c>
      <c r="G181" s="37">
        <f t="shared" si="13"/>
        <v>3.9587825233721704E-3</v>
      </c>
      <c r="H181" s="47">
        <v>240110</v>
      </c>
      <c r="I181" s="40">
        <f t="shared" si="14"/>
        <v>8.0919880185599084E-3</v>
      </c>
      <c r="J181" s="61"/>
      <c r="K181" s="62"/>
      <c r="L181" s="50">
        <v>0</v>
      </c>
      <c r="M181" s="37">
        <f t="shared" si="15"/>
        <v>0</v>
      </c>
      <c r="N181" s="59">
        <v>0</v>
      </c>
      <c r="O181" s="42">
        <f t="shared" si="16"/>
        <v>0</v>
      </c>
      <c r="P181" s="35"/>
      <c r="Q181" s="92">
        <f t="shared" si="17"/>
        <v>0</v>
      </c>
      <c r="R181" s="61"/>
      <c r="S181" s="62"/>
    </row>
    <row r="182" spans="1:19" ht="28.7">
      <c r="A182" s="22" t="s">
        <v>1279</v>
      </c>
      <c r="B182" s="35">
        <v>421.6</v>
      </c>
      <c r="C182" s="71">
        <v>2E-3</v>
      </c>
      <c r="D182" s="45">
        <v>1367</v>
      </c>
      <c r="E182" s="37">
        <f t="shared" si="12"/>
        <v>5.4530570966990574E-5</v>
      </c>
      <c r="F182" s="45">
        <v>4033</v>
      </c>
      <c r="G182" s="37">
        <f t="shared" si="13"/>
        <v>1.5715887308553956E-3</v>
      </c>
      <c r="H182" s="47">
        <v>0</v>
      </c>
      <c r="I182" s="40">
        <f t="shared" si="14"/>
        <v>0</v>
      </c>
      <c r="J182" s="61"/>
      <c r="K182" s="62"/>
      <c r="L182" s="50">
        <v>0</v>
      </c>
      <c r="M182" s="37">
        <f t="shared" si="15"/>
        <v>0</v>
      </c>
      <c r="N182" s="59">
        <v>0</v>
      </c>
      <c r="O182" s="42">
        <f t="shared" si="16"/>
        <v>0</v>
      </c>
      <c r="P182" s="35"/>
      <c r="Q182" s="92">
        <f t="shared" si="17"/>
        <v>0</v>
      </c>
      <c r="R182" s="61"/>
      <c r="S182" s="62"/>
    </row>
    <row r="183" spans="1:19" s="30" customFormat="1" ht="28.7">
      <c r="A183" s="103" t="s">
        <v>190</v>
      </c>
      <c r="B183" s="104">
        <v>8659.1</v>
      </c>
      <c r="C183" s="105">
        <v>4.1500000000000002E-2</v>
      </c>
      <c r="D183" s="106">
        <v>1517718</v>
      </c>
      <c r="E183" s="107">
        <f t="shared" si="12"/>
        <v>6.0542815732903439E-2</v>
      </c>
      <c r="F183" s="106">
        <v>121015</v>
      </c>
      <c r="G183" s="107">
        <f t="shared" si="13"/>
        <v>4.7157403983254575E-2</v>
      </c>
      <c r="H183" s="108">
        <v>2556510</v>
      </c>
      <c r="I183" s="109">
        <f t="shared" si="14"/>
        <v>8.6157379073460466E-2</v>
      </c>
      <c r="J183" s="104"/>
      <c r="K183" s="135">
        <v>2.0449999999999999E-2</v>
      </c>
      <c r="L183" s="112">
        <v>113384</v>
      </c>
      <c r="M183" s="107">
        <f t="shared" si="15"/>
        <v>1.750027473443367E-2</v>
      </c>
      <c r="N183" s="113">
        <v>80551</v>
      </c>
      <c r="O183" s="114">
        <f t="shared" si="16"/>
        <v>9.6267105573885851E-3</v>
      </c>
      <c r="P183" s="104">
        <v>39195022000</v>
      </c>
      <c r="Q183" s="116">
        <f>P183/P$195</f>
        <v>0.16104841568129619</v>
      </c>
      <c r="R183" s="104"/>
      <c r="S183" s="122"/>
    </row>
    <row r="184" spans="1:19" s="30" customFormat="1" ht="28.7">
      <c r="A184" s="103" t="s">
        <v>208</v>
      </c>
      <c r="B184" s="104">
        <v>35784.800000000003</v>
      </c>
      <c r="C184" s="105">
        <v>0.17130000000000001</v>
      </c>
      <c r="D184" s="106">
        <v>2630631</v>
      </c>
      <c r="E184" s="107">
        <f t="shared" si="12"/>
        <v>0.10493768137049406</v>
      </c>
      <c r="F184" s="106">
        <v>569379</v>
      </c>
      <c r="G184" s="107">
        <f t="shared" si="13"/>
        <v>0.22187692040310297</v>
      </c>
      <c r="H184" s="108">
        <v>3001480</v>
      </c>
      <c r="I184" s="109">
        <f t="shared" si="14"/>
        <v>0.10115338885488816</v>
      </c>
      <c r="J184" s="104"/>
      <c r="K184" s="136">
        <v>0.15514</v>
      </c>
      <c r="L184" s="112">
        <v>423487</v>
      </c>
      <c r="M184" s="107">
        <f t="shared" si="15"/>
        <v>6.5363180399889864E-2</v>
      </c>
      <c r="N184" s="113">
        <v>2512529</v>
      </c>
      <c r="O184" s="114">
        <f t="shared" si="16"/>
        <v>0.30027422937077114</v>
      </c>
      <c r="P184" s="104"/>
      <c r="Q184" s="116">
        <f t="shared" si="17"/>
        <v>0</v>
      </c>
      <c r="R184" s="104"/>
      <c r="S184" s="122"/>
    </row>
    <row r="185" spans="1:19">
      <c r="A185" s="22" t="s">
        <v>1280</v>
      </c>
      <c r="B185" s="35">
        <v>331.3</v>
      </c>
      <c r="C185" s="71">
        <v>1.6000000000000001E-3</v>
      </c>
      <c r="D185" s="45">
        <v>0</v>
      </c>
      <c r="E185" s="37">
        <f t="shared" si="12"/>
        <v>0</v>
      </c>
      <c r="F185" s="45">
        <v>3569</v>
      </c>
      <c r="G185" s="37">
        <f t="shared" si="13"/>
        <v>1.3907761419347648E-3</v>
      </c>
      <c r="H185" s="47">
        <v>0</v>
      </c>
      <c r="I185" s="40">
        <f t="shared" si="14"/>
        <v>0</v>
      </c>
      <c r="J185" s="61"/>
      <c r="K185" s="62"/>
      <c r="L185" s="50">
        <v>0</v>
      </c>
      <c r="M185" s="37">
        <f t="shared" si="15"/>
        <v>0</v>
      </c>
      <c r="N185" s="59">
        <v>96507</v>
      </c>
      <c r="O185" s="42">
        <f t="shared" si="16"/>
        <v>1.1533624110959519E-2</v>
      </c>
      <c r="P185" s="35"/>
      <c r="Q185" s="92">
        <f t="shared" si="17"/>
        <v>0</v>
      </c>
      <c r="R185" s="61"/>
      <c r="S185" s="62"/>
    </row>
    <row r="186" spans="1:19">
      <c r="A186" s="22" t="s">
        <v>1281</v>
      </c>
      <c r="B186" s="35">
        <v>249.3</v>
      </c>
      <c r="C186" s="71">
        <v>1.1999999999999999E-3</v>
      </c>
      <c r="D186" s="45">
        <v>73936</v>
      </c>
      <c r="E186" s="37">
        <f t="shared" si="12"/>
        <v>2.949357933442147E-3</v>
      </c>
      <c r="F186" s="45">
        <v>3873</v>
      </c>
      <c r="G186" s="37">
        <f t="shared" si="13"/>
        <v>1.5092395622620747E-3</v>
      </c>
      <c r="H186" s="47">
        <v>44120</v>
      </c>
      <c r="I186" s="40">
        <f t="shared" si="14"/>
        <v>1.4868956369116786E-3</v>
      </c>
      <c r="J186" s="61"/>
      <c r="K186" s="71">
        <v>6.7400000000000003E-3</v>
      </c>
      <c r="L186" s="50">
        <v>0</v>
      </c>
      <c r="M186" s="37">
        <f t="shared" si="15"/>
        <v>0</v>
      </c>
      <c r="N186" s="59">
        <v>0</v>
      </c>
      <c r="O186" s="42">
        <f t="shared" si="16"/>
        <v>0</v>
      </c>
      <c r="P186" s="35"/>
      <c r="Q186" s="92">
        <f t="shared" si="17"/>
        <v>0</v>
      </c>
      <c r="R186" s="61"/>
      <c r="S186" s="62"/>
    </row>
    <row r="187" spans="1:19">
      <c r="A187" s="22" t="s">
        <v>1282</v>
      </c>
      <c r="B187" s="35">
        <v>58.6</v>
      </c>
      <c r="C187" s="71">
        <v>2.9999999999999997E-4</v>
      </c>
      <c r="D187" s="45">
        <v>50952</v>
      </c>
      <c r="E187" s="37">
        <f t="shared" si="12"/>
        <v>2.0325103525311661E-3</v>
      </c>
      <c r="F187" s="45">
        <v>55</v>
      </c>
      <c r="G187" s="37">
        <f t="shared" si="13"/>
        <v>2.1432526703954066E-5</v>
      </c>
      <c r="H187" s="47">
        <v>0</v>
      </c>
      <c r="I187" s="40">
        <f t="shared" si="14"/>
        <v>0</v>
      </c>
      <c r="J187" s="61"/>
      <c r="K187" s="71">
        <v>6.9999999999999994E-5</v>
      </c>
      <c r="L187" s="50">
        <v>0</v>
      </c>
      <c r="M187" s="37">
        <f t="shared" si="15"/>
        <v>0</v>
      </c>
      <c r="N187" s="59">
        <v>0</v>
      </c>
      <c r="O187" s="42">
        <f t="shared" si="16"/>
        <v>0</v>
      </c>
      <c r="P187" s="35"/>
      <c r="Q187" s="92">
        <f t="shared" si="17"/>
        <v>0</v>
      </c>
      <c r="R187" s="61"/>
      <c r="S187" s="62"/>
    </row>
    <row r="188" spans="1:19" ht="57.35">
      <c r="A188" s="22" t="s">
        <v>1283</v>
      </c>
      <c r="B188" s="35">
        <v>2036.1</v>
      </c>
      <c r="C188" s="71">
        <v>9.7000000000000003E-3</v>
      </c>
      <c r="D188" s="45">
        <v>0</v>
      </c>
      <c r="E188" s="37">
        <f t="shared" si="12"/>
        <v>0</v>
      </c>
      <c r="F188" s="45">
        <v>27588</v>
      </c>
      <c r="G188" s="37">
        <f t="shared" si="13"/>
        <v>1.075055539470336E-2</v>
      </c>
      <c r="H188" s="47">
        <v>0</v>
      </c>
      <c r="I188" s="40">
        <f t="shared" si="14"/>
        <v>0</v>
      </c>
      <c r="J188" s="61"/>
      <c r="K188" s="62"/>
      <c r="L188" s="50">
        <v>0</v>
      </c>
      <c r="M188" s="37">
        <f t="shared" si="15"/>
        <v>0</v>
      </c>
      <c r="N188" s="59">
        <v>482267</v>
      </c>
      <c r="O188" s="42">
        <f t="shared" si="16"/>
        <v>5.7636091673351299E-2</v>
      </c>
      <c r="P188" s="35"/>
      <c r="Q188" s="92">
        <f t="shared" si="17"/>
        <v>0</v>
      </c>
      <c r="R188" s="61"/>
      <c r="S188" s="62"/>
    </row>
    <row r="189" spans="1:19">
      <c r="A189" s="22" t="s">
        <v>63</v>
      </c>
      <c r="B189" s="35">
        <v>96.8</v>
      </c>
      <c r="C189" s="71">
        <v>5.0000000000000001E-4</v>
      </c>
      <c r="D189" s="45">
        <v>61168</v>
      </c>
      <c r="E189" s="37">
        <f t="shared" si="12"/>
        <v>2.4400336246590193E-3</v>
      </c>
      <c r="F189" s="45">
        <v>446</v>
      </c>
      <c r="G189" s="37">
        <f t="shared" si="13"/>
        <v>1.7379830745388206E-4</v>
      </c>
      <c r="H189" s="47">
        <v>0</v>
      </c>
      <c r="I189" s="40">
        <f t="shared" si="14"/>
        <v>0</v>
      </c>
      <c r="J189" s="61"/>
      <c r="K189" s="71">
        <v>3.4199999999999999E-3</v>
      </c>
      <c r="L189" s="50">
        <v>0</v>
      </c>
      <c r="M189" s="37">
        <f t="shared" si="15"/>
        <v>0</v>
      </c>
      <c r="N189" s="59">
        <v>0</v>
      </c>
      <c r="O189" s="42">
        <f t="shared" si="16"/>
        <v>0</v>
      </c>
      <c r="P189" s="35"/>
      <c r="Q189" s="92">
        <f t="shared" si="17"/>
        <v>0</v>
      </c>
      <c r="R189" s="61"/>
      <c r="S189" s="62"/>
    </row>
    <row r="190" spans="1:19" ht="28.7">
      <c r="A190" s="22" t="s">
        <v>1284</v>
      </c>
      <c r="B190" s="35">
        <v>221.2</v>
      </c>
      <c r="C190" s="71">
        <v>1.1000000000000001E-3</v>
      </c>
      <c r="D190" s="45">
        <v>68976</v>
      </c>
      <c r="E190" s="37">
        <f t="shared" si="12"/>
        <v>2.7515001192532128E-3</v>
      </c>
      <c r="F190" s="45">
        <v>715</v>
      </c>
      <c r="G190" s="37">
        <f t="shared" si="13"/>
        <v>2.7862284715140286E-4</v>
      </c>
      <c r="H190" s="47">
        <v>0</v>
      </c>
      <c r="I190" s="40">
        <f t="shared" si="14"/>
        <v>0</v>
      </c>
      <c r="J190" s="61"/>
      <c r="K190" s="62"/>
      <c r="L190" s="50">
        <v>0</v>
      </c>
      <c r="M190" s="37">
        <f t="shared" si="15"/>
        <v>0</v>
      </c>
      <c r="N190" s="59">
        <v>0</v>
      </c>
      <c r="O190" s="42">
        <f t="shared" si="16"/>
        <v>0</v>
      </c>
      <c r="P190" s="35"/>
      <c r="Q190" s="92">
        <f t="shared" si="17"/>
        <v>0</v>
      </c>
      <c r="R190" s="61"/>
      <c r="S190" s="62"/>
    </row>
    <row r="191" spans="1:19">
      <c r="A191" s="22" t="s">
        <v>1086</v>
      </c>
      <c r="B191" s="35">
        <v>281</v>
      </c>
      <c r="C191" s="71">
        <v>1.2999999999999999E-3</v>
      </c>
      <c r="D191" s="45">
        <v>85915</v>
      </c>
      <c r="E191" s="37">
        <f t="shared" si="12"/>
        <v>3.4272084891214302E-3</v>
      </c>
      <c r="F191" s="45">
        <v>1286</v>
      </c>
      <c r="G191" s="37">
        <f t="shared" si="13"/>
        <v>5.0113144256881692E-4</v>
      </c>
      <c r="H191" s="47">
        <v>0</v>
      </c>
      <c r="I191" s="40">
        <f t="shared" si="14"/>
        <v>0</v>
      </c>
      <c r="J191" s="61"/>
      <c r="K191" s="62"/>
      <c r="L191" s="58">
        <v>80889</v>
      </c>
      <c r="M191" s="37">
        <f t="shared" si="15"/>
        <v>1.2484827868073142E-2</v>
      </c>
      <c r="N191" s="59">
        <v>0</v>
      </c>
      <c r="O191" s="42">
        <f t="shared" si="16"/>
        <v>0</v>
      </c>
      <c r="P191" s="35"/>
      <c r="Q191" s="92">
        <f t="shared" si="17"/>
        <v>0</v>
      </c>
      <c r="R191" s="61"/>
      <c r="S191" s="62"/>
    </row>
    <row r="192" spans="1:19">
      <c r="A192" s="22" t="s">
        <v>1285</v>
      </c>
      <c r="B192" s="35">
        <v>357.5</v>
      </c>
      <c r="C192" s="71">
        <v>1.6999999999999999E-3</v>
      </c>
      <c r="D192" s="45">
        <v>105982</v>
      </c>
      <c r="E192" s="37">
        <f>D192/D$195</f>
        <v>4.2276949321313788E-3</v>
      </c>
      <c r="F192" s="45">
        <v>3215</v>
      </c>
      <c r="G192" s="37">
        <f t="shared" si="13"/>
        <v>1.2528286064220422E-3</v>
      </c>
      <c r="H192" s="47">
        <v>0</v>
      </c>
      <c r="I192" s="40">
        <f t="shared" si="14"/>
        <v>0</v>
      </c>
      <c r="J192" s="61"/>
      <c r="K192" s="62"/>
      <c r="L192" s="58">
        <v>134150</v>
      </c>
      <c r="M192" s="37">
        <f t="shared" si="15"/>
        <v>2.0705406897130785E-2</v>
      </c>
      <c r="N192" s="59">
        <v>0</v>
      </c>
      <c r="O192" s="42">
        <f t="shared" si="16"/>
        <v>0</v>
      </c>
      <c r="P192" s="35"/>
      <c r="Q192" s="92">
        <f t="shared" si="17"/>
        <v>0</v>
      </c>
      <c r="R192" s="61"/>
      <c r="S192" s="62"/>
    </row>
    <row r="193" spans="1:19" ht="57.35">
      <c r="A193" s="137" t="s">
        <v>1286</v>
      </c>
      <c r="B193" s="104">
        <v>0</v>
      </c>
      <c r="C193" s="107">
        <f>B193/B$195</f>
        <v>0</v>
      </c>
      <c r="D193" s="106">
        <v>0</v>
      </c>
      <c r="E193" s="107">
        <f t="shared" si="12"/>
        <v>0</v>
      </c>
      <c r="F193" s="106">
        <v>0</v>
      </c>
      <c r="G193" s="107">
        <f t="shared" si="13"/>
        <v>0</v>
      </c>
      <c r="H193" s="108">
        <v>900440</v>
      </c>
      <c r="I193" s="109">
        <f t="shared" si="14"/>
        <v>3.034588185178495E-2</v>
      </c>
      <c r="J193" s="104"/>
      <c r="K193" s="122"/>
      <c r="L193" s="119">
        <v>0</v>
      </c>
      <c r="M193" s="107">
        <f t="shared" si="15"/>
        <v>0</v>
      </c>
      <c r="N193" s="113">
        <v>0</v>
      </c>
      <c r="O193" s="114">
        <f t="shared" si="16"/>
        <v>0</v>
      </c>
      <c r="P193" s="104"/>
      <c r="Q193" s="116">
        <f t="shared" si="17"/>
        <v>0</v>
      </c>
      <c r="R193" s="104"/>
      <c r="S193" s="122"/>
    </row>
    <row r="194" spans="1:19" ht="28.7">
      <c r="A194" s="137" t="s">
        <v>1330</v>
      </c>
      <c r="B194" s="104">
        <v>0</v>
      </c>
      <c r="C194" s="107">
        <f>B194/B$195</f>
        <v>0</v>
      </c>
      <c r="D194" s="106">
        <v>0</v>
      </c>
      <c r="E194" s="107">
        <f t="shared" si="12"/>
        <v>0</v>
      </c>
      <c r="F194" s="106">
        <v>0</v>
      </c>
      <c r="G194" s="107">
        <f t="shared" si="13"/>
        <v>0</v>
      </c>
      <c r="H194" s="128">
        <v>900440</v>
      </c>
      <c r="I194" s="109">
        <f t="shared" si="14"/>
        <v>3.034588185178495E-2</v>
      </c>
      <c r="J194" s="104"/>
      <c r="K194" s="122"/>
      <c r="L194" s="119">
        <v>0</v>
      </c>
      <c r="M194" s="107">
        <f t="shared" si="15"/>
        <v>0</v>
      </c>
      <c r="N194" s="113">
        <v>0</v>
      </c>
      <c r="O194" s="114">
        <f t="shared" si="16"/>
        <v>0</v>
      </c>
      <c r="P194" s="104"/>
      <c r="Q194" s="116">
        <f t="shared" si="17"/>
        <v>0</v>
      </c>
      <c r="R194" s="104"/>
      <c r="S194" s="122"/>
    </row>
    <row r="195" spans="1:19" ht="14.7" thickBot="1">
      <c r="A195" s="29"/>
      <c r="B195" s="72">
        <f>SUM(B4:B194)</f>
        <v>208643.10000000003</v>
      </c>
      <c r="C195" s="73">
        <f>B195/B$195</f>
        <v>1</v>
      </c>
      <c r="D195" s="74">
        <f>SUM(D4:D194)</f>
        <v>25068507</v>
      </c>
      <c r="E195" s="73">
        <f>D195/D$195</f>
        <v>1</v>
      </c>
      <c r="F195" s="74">
        <f>SUM(F4:F194)</f>
        <v>2566193</v>
      </c>
      <c r="G195" s="73">
        <f t="shared" si="13"/>
        <v>1</v>
      </c>
      <c r="H195" s="75">
        <f>SUM(H5:H194)</f>
        <v>29672560</v>
      </c>
      <c r="I195" s="76">
        <f t="shared" si="14"/>
        <v>1</v>
      </c>
      <c r="J195" s="72"/>
      <c r="K195" s="80"/>
      <c r="L195" s="77">
        <f>SUM(L4:L194)</f>
        <v>6478984</v>
      </c>
      <c r="M195" s="73">
        <f t="shared" si="15"/>
        <v>1</v>
      </c>
      <c r="N195" s="74">
        <f>SUM(N4:N194)</f>
        <v>8367448</v>
      </c>
      <c r="O195" s="78">
        <f t="shared" si="16"/>
        <v>1</v>
      </c>
      <c r="P195" s="72">
        <f>SUM(P4:P194)</f>
        <v>243374154500</v>
      </c>
      <c r="Q195" s="96">
        <f t="shared" si="17"/>
        <v>1</v>
      </c>
      <c r="R195" s="79"/>
      <c r="S195" s="80"/>
    </row>
    <row r="196" spans="1:19" ht="117" customHeight="1">
      <c r="A196" s="81"/>
      <c r="B196" s="516" t="s">
        <v>1287</v>
      </c>
      <c r="C196" s="517"/>
      <c r="D196" s="517" t="s">
        <v>1288</v>
      </c>
      <c r="E196" s="517"/>
      <c r="F196" s="518" t="s">
        <v>1289</v>
      </c>
      <c r="G196" s="519"/>
      <c r="H196" s="516" t="s">
        <v>1290</v>
      </c>
      <c r="I196" s="516"/>
      <c r="J196" s="520" t="s">
        <v>1291</v>
      </c>
      <c r="K196" s="516"/>
      <c r="L196" s="519" t="s">
        <v>1292</v>
      </c>
      <c r="M196" s="519"/>
      <c r="N196" s="517" t="s">
        <v>1293</v>
      </c>
      <c r="O196" s="517"/>
      <c r="P196" s="521" t="s">
        <v>1294</v>
      </c>
      <c r="Q196" s="521"/>
      <c r="R196" s="516" t="s">
        <v>1295</v>
      </c>
      <c r="S196" s="516"/>
    </row>
  </sheetData>
  <mergeCells count="19">
    <mergeCell ref="R2:S2"/>
    <mergeCell ref="B196:C196"/>
    <mergeCell ref="D196:E196"/>
    <mergeCell ref="F196:G196"/>
    <mergeCell ref="H196:I196"/>
    <mergeCell ref="J196:K196"/>
    <mergeCell ref="L196:M196"/>
    <mergeCell ref="N196:O196"/>
    <mergeCell ref="P196:Q196"/>
    <mergeCell ref="R196:S196"/>
    <mergeCell ref="A1:Q1"/>
    <mergeCell ref="B2:C2"/>
    <mergeCell ref="D2:E2"/>
    <mergeCell ref="F2:G2"/>
    <mergeCell ref="H2:I2"/>
    <mergeCell ref="J2:K2"/>
    <mergeCell ref="L2:M2"/>
    <mergeCell ref="N2:O2"/>
    <mergeCell ref="P2:Q2"/>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Z1275"/>
  <sheetViews>
    <sheetView zoomScale="55" zoomScaleNormal="55" zoomScalePageLayoutView="125" workbookViewId="0">
      <pane ySplit="1" topLeftCell="A132" activePane="bottomLeft" state="frozen"/>
      <selection pane="bottomLeft" activeCell="D135" sqref="A2:T1257"/>
    </sheetView>
  </sheetViews>
  <sheetFormatPr defaultColWidth="0" defaultRowHeight="14.35" zeroHeight="1"/>
  <cols>
    <col min="1" max="1" width="16.29296875" style="9" customWidth="1"/>
    <col min="2" max="2" width="22.87890625" style="9" customWidth="1"/>
    <col min="3" max="3" width="12.5859375" style="9" customWidth="1"/>
    <col min="4" max="4" width="26.87890625" style="53" bestFit="1" customWidth="1"/>
    <col min="5" max="5" width="21.5859375" style="1" customWidth="1"/>
    <col min="6" max="6" width="22.1171875" style="1" customWidth="1"/>
    <col min="7" max="7" width="52.5859375" style="278" customWidth="1"/>
    <col min="8" max="9" width="12.5859375" style="1" customWidth="1"/>
    <col min="10" max="10" width="16.29296875" style="159" customWidth="1"/>
    <col min="11" max="11" width="42.1171875" style="250" customWidth="1"/>
    <col min="12" max="12" width="71.29296875" style="309" customWidth="1"/>
    <col min="13" max="13" width="36.87890625" style="355" customWidth="1"/>
    <col min="14" max="14" width="16" style="156" customWidth="1"/>
    <col min="15" max="15" width="14.29296875" style="25" customWidth="1"/>
    <col min="16" max="16" width="13.87890625" style="25" customWidth="1"/>
    <col min="17" max="17" width="25.29296875" customWidth="1"/>
    <col min="18" max="18" width="57.5859375" customWidth="1"/>
    <col min="19" max="19" width="21.1171875" style="30" customWidth="1"/>
    <col min="20" max="20" width="24.1171875" style="254" bestFit="1" customWidth="1"/>
    <col min="21" max="21" width="12.5859375" customWidth="1"/>
    <col min="22" max="22" width="0" style="22" hidden="1" customWidth="1"/>
    <col min="23" max="24" width="0" style="2" hidden="1" customWidth="1"/>
    <col min="25" max="25" width="0" style="30" hidden="1" customWidth="1"/>
    <col min="26" max="26" width="0" style="2" hidden="1" customWidth="1"/>
    <col min="27" max="16384" width="12.5859375" style="2" hidden="1"/>
  </cols>
  <sheetData>
    <row r="1" spans="1:25" ht="43">
      <c r="A1" s="164" t="s">
        <v>4</v>
      </c>
      <c r="B1" s="162" t="s">
        <v>0</v>
      </c>
      <c r="C1" s="162" t="s">
        <v>335</v>
      </c>
      <c r="D1" s="165" t="s">
        <v>334</v>
      </c>
      <c r="E1" s="166" t="s">
        <v>2</v>
      </c>
      <c r="F1" s="166" t="s">
        <v>3</v>
      </c>
      <c r="G1" s="261" t="s">
        <v>947</v>
      </c>
      <c r="H1" s="166" t="s">
        <v>21</v>
      </c>
      <c r="I1" s="166" t="s">
        <v>1506</v>
      </c>
      <c r="J1" s="166" t="s">
        <v>5</v>
      </c>
      <c r="K1" s="239" t="s">
        <v>6</v>
      </c>
      <c r="L1" s="166" t="s">
        <v>330</v>
      </c>
      <c r="M1" s="449" t="s">
        <v>948</v>
      </c>
      <c r="N1" s="473" t="s">
        <v>652</v>
      </c>
      <c r="O1" s="474" t="s">
        <v>309</v>
      </c>
      <c r="P1" s="473" t="s">
        <v>310</v>
      </c>
      <c r="Q1" s="163" t="s">
        <v>320</v>
      </c>
      <c r="R1" s="162" t="s">
        <v>345</v>
      </c>
      <c r="S1" s="164" t="s">
        <v>634</v>
      </c>
      <c r="T1" s="162" t="s">
        <v>1660</v>
      </c>
      <c r="U1" s="2"/>
      <c r="V1" s="2"/>
      <c r="Y1" s="2"/>
    </row>
    <row r="2" spans="1:25" ht="172">
      <c r="A2" s="167" t="s">
        <v>1149</v>
      </c>
      <c r="B2" s="171" t="s">
        <v>511</v>
      </c>
      <c r="C2" s="171" t="s">
        <v>464</v>
      </c>
      <c r="D2" s="172">
        <f>500000000*'Dev Bank Share by Country'!$G$9</f>
        <v>8262239.0443742936</v>
      </c>
      <c r="E2" s="183" t="s">
        <v>454</v>
      </c>
      <c r="F2" s="183" t="s">
        <v>514</v>
      </c>
      <c r="G2" s="262" t="s">
        <v>783</v>
      </c>
      <c r="H2" s="183" t="s">
        <v>515</v>
      </c>
      <c r="I2" s="180" t="s">
        <v>283</v>
      </c>
      <c r="J2" s="183" t="s">
        <v>26</v>
      </c>
      <c r="K2" s="242">
        <v>41760</v>
      </c>
      <c r="L2" s="183" t="s">
        <v>833</v>
      </c>
      <c r="M2" s="262"/>
      <c r="N2" s="256">
        <f>(270+450)/19</f>
        <v>37.89473684210526</v>
      </c>
      <c r="O2" s="461">
        <f>CompletedProjects[[#This Row],[Power Plant Size (MW) or Share]]*0.593*9057*211.9*10^(-9)</f>
        <v>4.3126966682526316E-2</v>
      </c>
      <c r="P2" s="337">
        <f>CompletedProjects[[#This Row],[Annual Emissions (MMTCO2)]]*40</f>
        <v>1.7250786673010525</v>
      </c>
      <c r="Q2" s="176"/>
      <c r="R2" s="178" t="s">
        <v>639</v>
      </c>
      <c r="S2" s="167" t="s">
        <v>465</v>
      </c>
      <c r="T2" s="178"/>
      <c r="U2" s="2"/>
      <c r="V2" s="2"/>
      <c r="Y2" s="2"/>
    </row>
    <row r="3" spans="1:25" ht="43">
      <c r="A3" s="167" t="s">
        <v>1149</v>
      </c>
      <c r="B3" s="182" t="s">
        <v>511</v>
      </c>
      <c r="C3" s="182" t="s">
        <v>464</v>
      </c>
      <c r="D3" s="172">
        <f>740000000*'Dev Bank Share by Country'!$G$9</f>
        <v>12228113.785673954</v>
      </c>
      <c r="E3" s="173" t="s">
        <v>418</v>
      </c>
      <c r="F3" s="173" t="s">
        <v>419</v>
      </c>
      <c r="G3" s="262" t="s">
        <v>765</v>
      </c>
      <c r="H3" s="173" t="s">
        <v>144</v>
      </c>
      <c r="I3" s="180" t="s">
        <v>283</v>
      </c>
      <c r="J3" s="183" t="s">
        <v>26</v>
      </c>
      <c r="K3" s="241">
        <v>39520</v>
      </c>
      <c r="L3" s="202" t="s">
        <v>817</v>
      </c>
      <c r="M3" s="262"/>
      <c r="N3" s="256">
        <f>330/19</f>
        <v>17.368421052631579</v>
      </c>
      <c r="O3" s="461">
        <f>CompletedProjects[[#This Row],[Power Plant Size (MW) or Share]]*0.593*9057*211.9*10^(-9)</f>
        <v>1.9766526396157894E-2</v>
      </c>
      <c r="P3" s="337">
        <f>CompletedProjects[[#This Row],[Annual Emissions (MMTCO2)]]*40</f>
        <v>0.79066105584631574</v>
      </c>
      <c r="Q3" s="176"/>
      <c r="R3" s="167" t="s">
        <v>400</v>
      </c>
      <c r="S3" s="167" t="s">
        <v>633</v>
      </c>
      <c r="T3" s="167"/>
      <c r="U3" s="2"/>
      <c r="V3" s="2"/>
      <c r="Y3" s="2"/>
    </row>
    <row r="4" spans="1:25" ht="258">
      <c r="A4" s="167" t="s">
        <v>1149</v>
      </c>
      <c r="B4" s="167" t="s">
        <v>401</v>
      </c>
      <c r="C4" s="182" t="s">
        <v>464</v>
      </c>
      <c r="D4" s="172">
        <f>11000000*'Dev Bank Share by Country'!$E$9</f>
        <v>23964.929383309503</v>
      </c>
      <c r="E4" s="173" t="s">
        <v>420</v>
      </c>
      <c r="F4" s="173" t="s">
        <v>421</v>
      </c>
      <c r="G4" s="262" t="s">
        <v>769</v>
      </c>
      <c r="H4" s="173" t="s">
        <v>422</v>
      </c>
      <c r="I4" s="180" t="s">
        <v>283</v>
      </c>
      <c r="J4" s="173" t="s">
        <v>277</v>
      </c>
      <c r="K4" s="241">
        <v>39777</v>
      </c>
      <c r="L4" s="197"/>
      <c r="M4" s="273"/>
      <c r="N4" s="256"/>
      <c r="O4" s="461">
        <f>CompletedProjects[[#This Row],[Power Plant Size (MW) or Share]]*0.593*9057*211.9*10^(-9)</f>
        <v>0</v>
      </c>
      <c r="P4" s="337">
        <f>CompletedProjects[[#This Row],[Annual Emissions (MMTCO2)]]*40</f>
        <v>0</v>
      </c>
      <c r="Q4" s="167"/>
      <c r="R4" s="173" t="s">
        <v>834</v>
      </c>
      <c r="S4" s="167" t="s">
        <v>633</v>
      </c>
      <c r="T4" s="173"/>
      <c r="U4" s="2"/>
      <c r="V4" s="2"/>
      <c r="Y4" s="2"/>
    </row>
    <row r="5" spans="1:25" ht="28.7">
      <c r="A5" s="183" t="s">
        <v>1149</v>
      </c>
      <c r="B5" s="183" t="s">
        <v>508</v>
      </c>
      <c r="C5" s="183" t="s">
        <v>464</v>
      </c>
      <c r="D5" s="172">
        <f>147000000*'Dev Bank Share by Country'!$O$9</f>
        <v>15813977.929710468</v>
      </c>
      <c r="E5" s="173" t="s">
        <v>471</v>
      </c>
      <c r="F5" s="173" t="s">
        <v>472</v>
      </c>
      <c r="G5" s="262" t="s">
        <v>930</v>
      </c>
      <c r="H5" s="173" t="s">
        <v>473</v>
      </c>
      <c r="I5" s="180" t="s">
        <v>283</v>
      </c>
      <c r="J5" s="173" t="s">
        <v>26</v>
      </c>
      <c r="K5" s="241">
        <v>39892</v>
      </c>
      <c r="L5" s="197"/>
      <c r="M5" s="262"/>
      <c r="N5" s="150">
        <f>720/12</f>
        <v>60</v>
      </c>
      <c r="O5" s="461">
        <f>CompletedProjects[[#This Row],[Power Plant Size (MW) or Share]]*0.593*9057*211.9*10^(-9)</f>
        <v>6.8284363914000015E-2</v>
      </c>
      <c r="P5" s="337">
        <f>CompletedProjects[[#This Row],[Annual Emissions (MMTCO2)]]*40</f>
        <v>2.7313745565600005</v>
      </c>
      <c r="Q5" s="203"/>
      <c r="R5" s="173"/>
      <c r="S5" s="167"/>
      <c r="T5" s="173"/>
      <c r="U5" s="22"/>
      <c r="V5" s="2"/>
      <c r="X5" s="30"/>
      <c r="Y5" s="2"/>
    </row>
    <row r="6" spans="1:25" ht="43">
      <c r="A6" s="183" t="s">
        <v>1149</v>
      </c>
      <c r="B6" s="183" t="s">
        <v>508</v>
      </c>
      <c r="C6" s="183" t="s">
        <v>464</v>
      </c>
      <c r="D6" s="172">
        <f>50000000*'Dev Bank Share by Country'!$O$9</f>
        <v>5378904.0577246491</v>
      </c>
      <c r="E6" s="173" t="s">
        <v>475</v>
      </c>
      <c r="F6" s="173" t="s">
        <v>476</v>
      </c>
      <c r="G6" s="262" t="s">
        <v>931</v>
      </c>
      <c r="H6" s="173" t="s">
        <v>473</v>
      </c>
      <c r="I6" s="180" t="s">
        <v>283</v>
      </c>
      <c r="J6" s="173" t="s">
        <v>26</v>
      </c>
      <c r="K6" s="241">
        <v>39892</v>
      </c>
      <c r="L6" s="197"/>
      <c r="M6" s="262"/>
      <c r="N6" s="462">
        <f>360/12</f>
        <v>30</v>
      </c>
      <c r="O6" s="461">
        <f>CompletedProjects[[#This Row],[Power Plant Size (MW) or Share]]*0.593*9057*211.9*10^(-9)</f>
        <v>3.4142181957000008E-2</v>
      </c>
      <c r="P6" s="337">
        <f>CompletedProjects[[#This Row],[Annual Emissions (MMTCO2)]]*40</f>
        <v>1.3656872782800002</v>
      </c>
      <c r="Q6" s="203"/>
      <c r="R6" s="173"/>
      <c r="S6" s="167"/>
      <c r="T6" s="173"/>
      <c r="U6" s="22"/>
      <c r="V6" s="2"/>
      <c r="X6" s="30"/>
      <c r="Y6" s="2"/>
    </row>
    <row r="7" spans="1:25" ht="86">
      <c r="A7" s="167" t="s">
        <v>1149</v>
      </c>
      <c r="B7" s="182" t="s">
        <v>511</v>
      </c>
      <c r="C7" s="182" t="s">
        <v>464</v>
      </c>
      <c r="D7" s="172">
        <f>8000000*'Dev Bank Share by Country'!$G$9</f>
        <v>132195.82470998869</v>
      </c>
      <c r="E7" s="173" t="s">
        <v>405</v>
      </c>
      <c r="F7" s="173" t="s">
        <v>406</v>
      </c>
      <c r="G7" s="262" t="s">
        <v>786</v>
      </c>
      <c r="H7" s="173" t="s">
        <v>65</v>
      </c>
      <c r="I7" s="180" t="s">
        <v>283</v>
      </c>
      <c r="J7" s="173" t="s">
        <v>26</v>
      </c>
      <c r="K7" s="241">
        <v>39234</v>
      </c>
      <c r="L7" s="173" t="s">
        <v>815</v>
      </c>
      <c r="M7" s="262" t="s">
        <v>806</v>
      </c>
      <c r="N7" s="256">
        <f>600/19</f>
        <v>31.578947368421051</v>
      </c>
      <c r="O7" s="461">
        <f>CompletedProjects[[#This Row],[Power Plant Size (MW) or Share]]*0.593*9057*211.9*10^(-9)</f>
        <v>3.5939138902105268E-2</v>
      </c>
      <c r="P7" s="337">
        <f>CompletedProjects[[#This Row],[Annual Emissions (MMTCO2)]]*40</f>
        <v>1.4375655560842107</v>
      </c>
      <c r="Q7" s="167"/>
      <c r="R7" s="167" t="s">
        <v>467</v>
      </c>
      <c r="S7" s="167" t="s">
        <v>633</v>
      </c>
      <c r="T7" s="167"/>
      <c r="U7" s="22"/>
      <c r="V7" s="2"/>
      <c r="X7" s="30"/>
      <c r="Y7" s="2"/>
    </row>
    <row r="8" spans="1:25" ht="114.7">
      <c r="A8" s="167" t="s">
        <v>1149</v>
      </c>
      <c r="B8" s="182" t="s">
        <v>511</v>
      </c>
      <c r="C8" s="182" t="s">
        <v>464</v>
      </c>
      <c r="D8" s="172">
        <f>275000000*'Dev Bank Share by Country'!$G$9</f>
        <v>4544231.4744058615</v>
      </c>
      <c r="E8" s="173" t="s">
        <v>413</v>
      </c>
      <c r="F8" s="173" t="s">
        <v>413</v>
      </c>
      <c r="G8" s="262" t="s">
        <v>766</v>
      </c>
      <c r="H8" s="173" t="s">
        <v>95</v>
      </c>
      <c r="I8" s="180" t="s">
        <v>283</v>
      </c>
      <c r="J8" s="173" t="s">
        <v>277</v>
      </c>
      <c r="K8" s="241">
        <v>39394</v>
      </c>
      <c r="L8" s="173" t="s">
        <v>917</v>
      </c>
      <c r="M8" s="262"/>
      <c r="N8" s="256">
        <f>600/7/2</f>
        <v>42.857142857142854</v>
      </c>
      <c r="O8" s="461">
        <f>CompletedProjects[[#This Row],[Power Plant Size (MW) or Share]]*0.593*9057*211.9*10^(-9)</f>
        <v>4.8774545652857132E-2</v>
      </c>
      <c r="P8" s="337">
        <f>CompletedProjects[[#This Row],[Annual Emissions (MMTCO2)]]*40</f>
        <v>1.9509818261142853</v>
      </c>
      <c r="Q8" s="167"/>
      <c r="R8" s="167" t="s">
        <v>640</v>
      </c>
      <c r="S8" s="167" t="s">
        <v>465</v>
      </c>
      <c r="T8" s="167"/>
      <c r="U8" s="2"/>
      <c r="V8" s="2"/>
      <c r="Y8" s="2"/>
    </row>
    <row r="9" spans="1:25" ht="28.7">
      <c r="A9" s="183" t="s">
        <v>1149</v>
      </c>
      <c r="B9" s="183" t="s">
        <v>509</v>
      </c>
      <c r="C9" s="183" t="s">
        <v>464</v>
      </c>
      <c r="D9" s="172">
        <v>131004.73745529262</v>
      </c>
      <c r="E9" s="173" t="s">
        <v>429</v>
      </c>
      <c r="F9" s="173" t="s">
        <v>430</v>
      </c>
      <c r="G9" s="262" t="s">
        <v>928</v>
      </c>
      <c r="H9" s="173" t="s">
        <v>431</v>
      </c>
      <c r="I9" s="180" t="s">
        <v>283</v>
      </c>
      <c r="J9" s="173" t="s">
        <v>26</v>
      </c>
      <c r="K9" s="241">
        <v>40114</v>
      </c>
      <c r="L9" s="173"/>
      <c r="M9" s="262"/>
      <c r="N9" s="337">
        <f>600/15/2</f>
        <v>20</v>
      </c>
      <c r="O9" s="461">
        <f>CompletedProjects[[#This Row],[Power Plant Size (MW) or Share]]*0.593*9057*211.9*10^(-9)</f>
        <v>2.2761454637999997E-2</v>
      </c>
      <c r="P9" s="337">
        <f>CompletedProjects[[#This Row],[Annual Emissions (MMTCO2)]]*40</f>
        <v>0.91045818551999991</v>
      </c>
      <c r="Q9" s="176"/>
      <c r="R9" s="178" t="s">
        <v>467</v>
      </c>
      <c r="S9" s="167"/>
      <c r="T9" s="178"/>
      <c r="U9" s="2"/>
      <c r="V9" s="2"/>
      <c r="Y9" s="2"/>
    </row>
    <row r="10" spans="1:25" ht="28.7">
      <c r="A10" s="167" t="s">
        <v>1149</v>
      </c>
      <c r="B10" s="171" t="s">
        <v>509</v>
      </c>
      <c r="C10" s="171" t="s">
        <v>464</v>
      </c>
      <c r="D10" s="172">
        <v>2647036.6562411636</v>
      </c>
      <c r="E10" s="173" t="s">
        <v>41</v>
      </c>
      <c r="F10" s="173" t="s">
        <v>468</v>
      </c>
      <c r="G10" s="262" t="s">
        <v>927</v>
      </c>
      <c r="H10" s="173" t="s">
        <v>25</v>
      </c>
      <c r="I10" s="180" t="s">
        <v>283</v>
      </c>
      <c r="J10" s="173" t="s">
        <v>26</v>
      </c>
      <c r="K10" s="241">
        <v>40142</v>
      </c>
      <c r="L10" s="173"/>
      <c r="M10" s="262"/>
      <c r="N10" s="337">
        <f>4800/15/2</f>
        <v>160</v>
      </c>
      <c r="O10" s="461">
        <f>CompletedProjects[[#This Row],[Power Plant Size (MW) or Share]]*0.593*9057*211.9*10^(-9)</f>
        <v>0.18209163710399998</v>
      </c>
      <c r="P10" s="337">
        <f>CompletedProjects[[#This Row],[Annual Emissions (MMTCO2)]]*40</f>
        <v>7.2836654841599993</v>
      </c>
      <c r="Q10" s="176"/>
      <c r="R10" s="178" t="s">
        <v>642</v>
      </c>
      <c r="S10" s="167"/>
      <c r="T10" s="178"/>
      <c r="U10" s="2"/>
      <c r="V10" s="2"/>
      <c r="Y10" s="2"/>
    </row>
    <row r="11" spans="1:25" ht="43">
      <c r="A11" s="181" t="s">
        <v>1149</v>
      </c>
      <c r="B11" s="182" t="s">
        <v>509</v>
      </c>
      <c r="C11" s="182" t="s">
        <v>464</v>
      </c>
      <c r="D11" s="172">
        <v>82960.476519157935</v>
      </c>
      <c r="E11" s="173" t="s">
        <v>469</v>
      </c>
      <c r="F11" s="173" t="s">
        <v>516</v>
      </c>
      <c r="G11" s="262" t="s">
        <v>929</v>
      </c>
      <c r="H11" s="173" t="s">
        <v>458</v>
      </c>
      <c r="I11" s="180" t="s">
        <v>283</v>
      </c>
      <c r="J11" s="173" t="s">
        <v>26</v>
      </c>
      <c r="K11" s="241">
        <v>40142</v>
      </c>
      <c r="L11" s="173"/>
      <c r="M11" s="262"/>
      <c r="N11" s="150">
        <f>125/15</f>
        <v>8.3333333333333339</v>
      </c>
      <c r="O11" s="461">
        <f>CompletedProjects[[#This Row],[Power Plant Size (MW) or Share]]*0.593*9057*211.9*10^(-9)</f>
        <v>9.4839394324999996E-3</v>
      </c>
      <c r="P11" s="337">
        <f>CompletedProjects[[#This Row],[Annual Emissions (MMTCO2)]]*40</f>
        <v>0.37935757729999997</v>
      </c>
      <c r="Q11" s="203"/>
      <c r="R11" s="167" t="s">
        <v>470</v>
      </c>
      <c r="S11" s="167"/>
      <c r="T11" s="167" t="s">
        <v>537</v>
      </c>
      <c r="U11" s="2"/>
      <c r="V11" s="2"/>
      <c r="Y11" s="2"/>
    </row>
    <row r="12" spans="1:25" ht="172">
      <c r="A12" s="167" t="s">
        <v>1149</v>
      </c>
      <c r="B12" s="167" t="s">
        <v>401</v>
      </c>
      <c r="C12" s="182" t="s">
        <v>464</v>
      </c>
      <c r="D12" s="172">
        <f>11250000*'Dev Bank Share by Country'!$E$9</f>
        <v>24509.586869293809</v>
      </c>
      <c r="E12" s="173" t="s">
        <v>270</v>
      </c>
      <c r="F12" s="173" t="s">
        <v>433</v>
      </c>
      <c r="G12" s="262" t="s">
        <v>767</v>
      </c>
      <c r="H12" s="173" t="s">
        <v>201</v>
      </c>
      <c r="I12" s="173" t="s">
        <v>40</v>
      </c>
      <c r="J12" s="173" t="s">
        <v>417</v>
      </c>
      <c r="K12" s="241">
        <v>40673</v>
      </c>
      <c r="L12" s="173" t="s">
        <v>828</v>
      </c>
      <c r="M12" s="273" t="s">
        <v>827</v>
      </c>
      <c r="N12" s="256"/>
      <c r="O12" s="461">
        <f>CompletedProjects[[#This Row],[Power Plant Size (MW) or Share]]*0.593*9057*211.9*10^(-9)</f>
        <v>0</v>
      </c>
      <c r="P12" s="337">
        <f>CompletedProjects[[#This Row],[Annual Emissions (MMTCO2)]]*40</f>
        <v>0</v>
      </c>
      <c r="Q12" s="167"/>
      <c r="R12" s="167" t="s">
        <v>400</v>
      </c>
      <c r="S12" s="167" t="s">
        <v>465</v>
      </c>
      <c r="T12" s="167"/>
      <c r="U12" s="2"/>
      <c r="V12" s="2"/>
      <c r="Y12" s="2"/>
    </row>
    <row r="13" spans="1:25" ht="57.35">
      <c r="A13" s="167" t="s">
        <v>1149</v>
      </c>
      <c r="B13" s="171" t="s">
        <v>445</v>
      </c>
      <c r="C13" s="171" t="s">
        <v>464</v>
      </c>
      <c r="D13" s="172">
        <f>450000000*'Dev Bank Share by Country'!$G$9</f>
        <v>7436015.1399368644</v>
      </c>
      <c r="E13" s="183" t="s">
        <v>1395</v>
      </c>
      <c r="F13" s="183" t="s">
        <v>1393</v>
      </c>
      <c r="G13" s="262" t="s">
        <v>1394</v>
      </c>
      <c r="H13" s="183" t="s">
        <v>65</v>
      </c>
      <c r="I13" s="180" t="s">
        <v>283</v>
      </c>
      <c r="J13" s="183" t="s">
        <v>26</v>
      </c>
      <c r="K13" s="242">
        <v>39562</v>
      </c>
      <c r="L13" s="183" t="s">
        <v>1396</v>
      </c>
      <c r="M13" s="262" t="s">
        <v>768</v>
      </c>
      <c r="N13" s="337">
        <f>4000/3/20</f>
        <v>66.666666666666657</v>
      </c>
      <c r="O13" s="461">
        <f>CompletedProjects[[#This Row],[Power Plant Size (MW) or Share]]*0.593*9057*211.9*10^(-9)</f>
        <v>7.5871515459999983E-2</v>
      </c>
      <c r="P13" s="337">
        <f>CompletedProjects[[#This Row],[Annual Emissions (MMTCO2)]]*40</f>
        <v>3.0348606183999993</v>
      </c>
      <c r="Q13" s="176"/>
      <c r="R13" s="178"/>
      <c r="S13" s="167"/>
      <c r="T13" s="178"/>
      <c r="U13" s="2"/>
      <c r="V13" s="2"/>
      <c r="Y13" s="2"/>
    </row>
    <row r="14" spans="1:25" ht="57.35">
      <c r="A14" s="167" t="s">
        <v>1149</v>
      </c>
      <c r="B14" s="182" t="s">
        <v>511</v>
      </c>
      <c r="C14" s="182" t="s">
        <v>464</v>
      </c>
      <c r="D14" s="172">
        <f>18000000*'Dev Bank Share by Country'!$G$9</f>
        <v>297440.60559747455</v>
      </c>
      <c r="E14" s="173" t="s">
        <v>407</v>
      </c>
      <c r="F14" s="173" t="s">
        <v>407</v>
      </c>
      <c r="G14" s="262" t="s">
        <v>776</v>
      </c>
      <c r="H14" s="173" t="s">
        <v>408</v>
      </c>
      <c r="I14" s="180" t="s">
        <v>283</v>
      </c>
      <c r="J14" s="173" t="s">
        <v>409</v>
      </c>
      <c r="K14" s="241">
        <v>39254</v>
      </c>
      <c r="L14" s="173" t="s">
        <v>816</v>
      </c>
      <c r="M14" s="262"/>
      <c r="N14" s="256">
        <f>60/19</f>
        <v>3.1578947368421053</v>
      </c>
      <c r="O14" s="461">
        <f>CompletedProjects[[#This Row],[Power Plant Size (MW) or Share]]*0.593*9057*211.9*10^(-9)</f>
        <v>3.5939138902105262E-3</v>
      </c>
      <c r="P14" s="337">
        <f>CompletedProjects[[#This Row],[Annual Emissions (MMTCO2)]]*40</f>
        <v>0.14375655560842104</v>
      </c>
      <c r="Q14" s="167"/>
      <c r="R14" s="167" t="s">
        <v>636</v>
      </c>
      <c r="S14" s="167" t="s">
        <v>633</v>
      </c>
      <c r="T14" s="167"/>
      <c r="U14" s="2"/>
      <c r="V14" s="2"/>
      <c r="Y14" s="2"/>
    </row>
    <row r="15" spans="1:25" ht="86">
      <c r="A15" s="167" t="s">
        <v>1149</v>
      </c>
      <c r="B15" s="167" t="s">
        <v>401</v>
      </c>
      <c r="C15" s="182" t="s">
        <v>464</v>
      </c>
      <c r="D15" s="172">
        <f>7500000*'Dev Bank Share by Country'!$E$9</f>
        <v>16339.724579529206</v>
      </c>
      <c r="E15" s="173" t="s">
        <v>456</v>
      </c>
      <c r="F15" s="173" t="s">
        <v>457</v>
      </c>
      <c r="G15" s="262" t="s">
        <v>794</v>
      </c>
      <c r="H15" s="173" t="s">
        <v>458</v>
      </c>
      <c r="I15" s="180" t="s">
        <v>283</v>
      </c>
      <c r="J15" s="173" t="s">
        <v>26</v>
      </c>
      <c r="K15" s="241">
        <v>41627</v>
      </c>
      <c r="L15" s="173" t="s">
        <v>899</v>
      </c>
      <c r="M15" s="262"/>
      <c r="N15" s="256">
        <f>125/19</f>
        <v>6.5789473684210522</v>
      </c>
      <c r="O15" s="461">
        <f>CompletedProjects[[#This Row],[Power Plant Size (MW) or Share]]*0.593*9057*211.9*10^(-9)</f>
        <v>7.487320604605263E-3</v>
      </c>
      <c r="P15" s="337">
        <f>CompletedProjects[[#This Row],[Annual Emissions (MMTCO2)]]*40</f>
        <v>0.29949282418421053</v>
      </c>
      <c r="Q15" s="167"/>
      <c r="R15" s="167" t="s">
        <v>637</v>
      </c>
      <c r="S15" s="167" t="s">
        <v>633</v>
      </c>
      <c r="T15" s="167" t="s">
        <v>537</v>
      </c>
      <c r="U15" s="2"/>
      <c r="V15" s="2"/>
      <c r="Y15" s="2"/>
    </row>
    <row r="16" spans="1:25" ht="100.35">
      <c r="A16" s="167" t="s">
        <v>1149</v>
      </c>
      <c r="B16" s="182" t="s">
        <v>511</v>
      </c>
      <c r="C16" s="182" t="s">
        <v>464</v>
      </c>
      <c r="D16" s="172">
        <f>146970000*'Dev Bank Share by Country'!$G$9</f>
        <v>2428602.5447033797</v>
      </c>
      <c r="E16" s="173" t="s">
        <v>459</v>
      </c>
      <c r="F16" s="173" t="s">
        <v>460</v>
      </c>
      <c r="G16" s="262" t="s">
        <v>784</v>
      </c>
      <c r="H16" s="173" t="s">
        <v>239</v>
      </c>
      <c r="I16" s="180" t="s">
        <v>283</v>
      </c>
      <c r="J16" s="173" t="s">
        <v>26</v>
      </c>
      <c r="K16" s="241">
        <v>41701</v>
      </c>
      <c r="L16" s="173" t="s">
        <v>900</v>
      </c>
      <c r="M16" s="262"/>
      <c r="N16" s="256"/>
      <c r="O16" s="461">
        <f>CompletedProjects[[#This Row],[Power Plant Size (MW) or Share]]*0.593*9057*211.9*10^(-9)</f>
        <v>0</v>
      </c>
      <c r="P16" s="337">
        <f>CompletedProjects[[#This Row],[Annual Emissions (MMTCO2)]]*40</f>
        <v>0</v>
      </c>
      <c r="Q16" s="167"/>
      <c r="R16" s="167" t="s">
        <v>400</v>
      </c>
      <c r="S16" s="167" t="s">
        <v>465</v>
      </c>
      <c r="T16" s="167"/>
      <c r="U16" s="2"/>
      <c r="V16" s="2"/>
      <c r="Y16" s="2"/>
    </row>
    <row r="17" spans="1:25" ht="129">
      <c r="A17" s="167" t="s">
        <v>1149</v>
      </c>
      <c r="B17" s="182" t="s">
        <v>509</v>
      </c>
      <c r="C17" s="182" t="s">
        <v>464</v>
      </c>
      <c r="D17" s="172">
        <v>199784.4106421624</v>
      </c>
      <c r="E17" s="173" t="s">
        <v>556</v>
      </c>
      <c r="F17" s="173" t="s">
        <v>555</v>
      </c>
      <c r="G17" s="262"/>
      <c r="H17" s="173" t="s">
        <v>554</v>
      </c>
      <c r="I17" s="180" t="s">
        <v>283</v>
      </c>
      <c r="J17" s="173" t="s">
        <v>26</v>
      </c>
      <c r="K17" s="240">
        <v>42064</v>
      </c>
      <c r="L17" s="173" t="s">
        <v>857</v>
      </c>
      <c r="M17" s="262" t="s">
        <v>858</v>
      </c>
      <c r="N17" s="337"/>
      <c r="O17" s="461">
        <f>CompletedProjects[[#This Row],[Power Plant Size (MW) or Share]]*0.593*9057*211.9*10^(-9)</f>
        <v>0</v>
      </c>
      <c r="P17" s="337">
        <f>CompletedProjects[[#This Row],[Annual Emissions (MMTCO2)]]*40</f>
        <v>0</v>
      </c>
      <c r="Q17" s="176"/>
      <c r="R17" s="178" t="s">
        <v>537</v>
      </c>
      <c r="S17" s="167"/>
      <c r="T17" s="178"/>
      <c r="U17" s="2"/>
      <c r="V17" s="2"/>
      <c r="Y17" s="2"/>
    </row>
    <row r="18" spans="1:25" ht="215">
      <c r="A18" s="181" t="s">
        <v>1149</v>
      </c>
      <c r="B18" s="182" t="s">
        <v>509</v>
      </c>
      <c r="C18" s="182" t="s">
        <v>464</v>
      </c>
      <c r="D18" s="172">
        <v>1123787.3098621636</v>
      </c>
      <c r="E18" s="173" t="s">
        <v>41</v>
      </c>
      <c r="F18" s="173" t="s">
        <v>553</v>
      </c>
      <c r="G18" s="262" t="s">
        <v>788</v>
      </c>
      <c r="H18" s="173" t="s">
        <v>25</v>
      </c>
      <c r="I18" s="173" t="s">
        <v>284</v>
      </c>
      <c r="J18" s="173" t="s">
        <v>79</v>
      </c>
      <c r="K18" s="240">
        <v>42359</v>
      </c>
      <c r="L18" s="173" t="s">
        <v>1326</v>
      </c>
      <c r="M18" s="262" t="s">
        <v>861</v>
      </c>
      <c r="N18" s="337"/>
      <c r="O18" s="461">
        <f>CompletedProjects[[#This Row],[Power Plant Size (MW) or Share]]*0.593*9057*211.9*10^(-9)</f>
        <v>0</v>
      </c>
      <c r="P18" s="337">
        <f>CompletedProjects[[#This Row],[Annual Emissions (MMTCO2)]]*40</f>
        <v>0</v>
      </c>
      <c r="Q18" s="176"/>
      <c r="R18" s="178"/>
      <c r="S18" s="167"/>
      <c r="T18" s="178"/>
      <c r="U18" s="2"/>
      <c r="V18" s="2"/>
      <c r="Y18" s="2"/>
    </row>
    <row r="19" spans="1:25" ht="172">
      <c r="A19" s="167" t="s">
        <v>1149</v>
      </c>
      <c r="B19" s="167" t="s">
        <v>401</v>
      </c>
      <c r="C19" s="182" t="s">
        <v>464</v>
      </c>
      <c r="D19" s="172">
        <f>1120000*'Dev Bank Share by Country'!$E$9</f>
        <v>2440.0655372096949</v>
      </c>
      <c r="E19" s="173" t="s">
        <v>402</v>
      </c>
      <c r="F19" s="173" t="s">
        <v>403</v>
      </c>
      <c r="G19" s="262" t="s">
        <v>785</v>
      </c>
      <c r="H19" s="173" t="s">
        <v>404</v>
      </c>
      <c r="I19" s="173" t="s">
        <v>284</v>
      </c>
      <c r="J19" s="173" t="s">
        <v>1498</v>
      </c>
      <c r="K19" s="241">
        <v>39224</v>
      </c>
      <c r="L19" s="173" t="s">
        <v>826</v>
      </c>
      <c r="M19" s="262" t="s">
        <v>785</v>
      </c>
      <c r="N19" s="256"/>
      <c r="O19" s="461">
        <f>CompletedProjects[[#This Row],[Power Plant Size (MW) or Share]]*0.593*9057*211.9*10^(-9)</f>
        <v>0</v>
      </c>
      <c r="P19" s="337">
        <f>CompletedProjects[[#This Row],[Annual Emissions (MMTCO2)]]*40</f>
        <v>0</v>
      </c>
      <c r="Q19" s="167"/>
      <c r="R19" s="167" t="s">
        <v>400</v>
      </c>
      <c r="S19" s="167" t="s">
        <v>633</v>
      </c>
      <c r="T19" s="167" t="s">
        <v>537</v>
      </c>
      <c r="U19" s="2"/>
      <c r="V19" s="2"/>
      <c r="Y19" s="2"/>
    </row>
    <row r="20" spans="1:25" ht="172">
      <c r="A20" s="167" t="s">
        <v>1149</v>
      </c>
      <c r="B20" s="167" t="s">
        <v>401</v>
      </c>
      <c r="C20" s="182" t="s">
        <v>464</v>
      </c>
      <c r="D20" s="172">
        <f>4200000*'Dev Bank Share by Country'!$E$9</f>
        <v>9150.2457645363556</v>
      </c>
      <c r="E20" s="173" t="s">
        <v>448</v>
      </c>
      <c r="F20" s="173" t="s">
        <v>449</v>
      </c>
      <c r="G20" s="262" t="s">
        <v>792</v>
      </c>
      <c r="H20" s="173" t="s">
        <v>450</v>
      </c>
      <c r="I20" s="173" t="s">
        <v>40</v>
      </c>
      <c r="J20" s="173" t="s">
        <v>1502</v>
      </c>
      <c r="K20" s="241">
        <v>41404</v>
      </c>
      <c r="L20" s="173" t="s">
        <v>925</v>
      </c>
      <c r="M20" s="262"/>
      <c r="N20" s="256"/>
      <c r="O20" s="461">
        <f>CompletedProjects[[#This Row],[Power Plant Size (MW) or Share]]*0.593*9057*211.9*10^(-9)</f>
        <v>0</v>
      </c>
      <c r="P20" s="337">
        <f>CompletedProjects[[#This Row],[Annual Emissions (MMTCO2)]]*40</f>
        <v>0</v>
      </c>
      <c r="Q20" s="167"/>
      <c r="R20" s="167" t="s">
        <v>400</v>
      </c>
      <c r="S20" s="167" t="s">
        <v>465</v>
      </c>
      <c r="T20" s="167"/>
      <c r="U20" s="2"/>
      <c r="V20" s="2"/>
      <c r="Y20" s="2"/>
    </row>
    <row r="21" spans="1:25" ht="157.69999999999999">
      <c r="A21" s="167" t="s">
        <v>1149</v>
      </c>
      <c r="B21" s="167" t="s">
        <v>513</v>
      </c>
      <c r="C21" s="182" t="s">
        <v>464</v>
      </c>
      <c r="D21" s="172">
        <f>180000000*'Dev Bank Share by Country'!$C$9</f>
        <v>1566000</v>
      </c>
      <c r="E21" s="173" t="s">
        <v>425</v>
      </c>
      <c r="F21" s="173" t="s">
        <v>426</v>
      </c>
      <c r="G21" s="262" t="s">
        <v>770</v>
      </c>
      <c r="H21" s="173" t="s">
        <v>65</v>
      </c>
      <c r="I21" s="180" t="s">
        <v>283</v>
      </c>
      <c r="J21" s="173" t="s">
        <v>277</v>
      </c>
      <c r="K21" s="241">
        <v>39982</v>
      </c>
      <c r="L21" s="173" t="s">
        <v>921</v>
      </c>
      <c r="M21" s="273"/>
      <c r="N21" s="256">
        <f>420/19</f>
        <v>22.105263157894736</v>
      </c>
      <c r="O21" s="461">
        <f>CompletedProjects[[#This Row],[Power Plant Size (MW) or Share]]*0.593*9057*211.9*10^(-9)</f>
        <v>2.5157397231473682E-2</v>
      </c>
      <c r="P21" s="337">
        <f>CompletedProjects[[#This Row],[Annual Emissions (MMTCO2)]]*40</f>
        <v>1.0062958892589473</v>
      </c>
      <c r="Q21" s="167"/>
      <c r="R21" s="167" t="s">
        <v>638</v>
      </c>
      <c r="S21" s="167" t="s">
        <v>466</v>
      </c>
      <c r="T21" s="167"/>
      <c r="U21" s="2"/>
      <c r="V21" s="2"/>
      <c r="Y21" s="2"/>
    </row>
    <row r="22" spans="1:25" s="30" customFormat="1" ht="100.35">
      <c r="A22" s="167" t="s">
        <v>1149</v>
      </c>
      <c r="B22" s="167" t="s">
        <v>445</v>
      </c>
      <c r="C22" s="167" t="s">
        <v>464</v>
      </c>
      <c r="D22" s="172">
        <f>25000000*'Dev Bank Share by Country'!$G$9</f>
        <v>413111.95221871469</v>
      </c>
      <c r="E22" s="173" t="s">
        <v>398</v>
      </c>
      <c r="F22" s="173" t="s">
        <v>398</v>
      </c>
      <c r="G22" s="262" t="s">
        <v>787</v>
      </c>
      <c r="H22" s="173" t="s">
        <v>399</v>
      </c>
      <c r="I22" s="180" t="s">
        <v>283</v>
      </c>
      <c r="J22" s="173" t="s">
        <v>26</v>
      </c>
      <c r="K22" s="241">
        <v>39204</v>
      </c>
      <c r="L22" s="173" t="s">
        <v>915</v>
      </c>
      <c r="M22" s="262"/>
      <c r="N22" s="256">
        <f>30/20</f>
        <v>1.5</v>
      </c>
      <c r="O22" s="461">
        <f>CompletedProjects[[#This Row],[Power Plant Size (MW) or Share]]*0.593*9057*211.9*10^(-9)</f>
        <v>1.7071090978499999E-3</v>
      </c>
      <c r="P22" s="337">
        <f>CompletedProjects[[#This Row],[Annual Emissions (MMTCO2)]]*40</f>
        <v>6.8284363914000001E-2</v>
      </c>
      <c r="Q22" s="176"/>
      <c r="R22" s="167" t="s">
        <v>635</v>
      </c>
      <c r="S22" s="167" t="s">
        <v>465</v>
      </c>
      <c r="T22" s="167"/>
    </row>
    <row r="23" spans="1:25" ht="229.35">
      <c r="A23" s="167" t="s">
        <v>1149</v>
      </c>
      <c r="B23" s="167" t="s">
        <v>513</v>
      </c>
      <c r="C23" s="167" t="s">
        <v>464</v>
      </c>
      <c r="D23" s="172">
        <f>1000000000*'Dev Bank Share by Country'!$C$9</f>
        <v>8700000</v>
      </c>
      <c r="E23" s="173" t="s">
        <v>425</v>
      </c>
      <c r="F23" s="173" t="s">
        <v>427</v>
      </c>
      <c r="G23" s="262" t="s">
        <v>778</v>
      </c>
      <c r="H23" s="173" t="s">
        <v>65</v>
      </c>
      <c r="I23" s="173" t="s">
        <v>1507</v>
      </c>
      <c r="J23" s="173" t="s">
        <v>428</v>
      </c>
      <c r="K23" s="241">
        <v>40078</v>
      </c>
      <c r="L23" s="173" t="s">
        <v>824</v>
      </c>
      <c r="M23" s="262"/>
      <c r="N23" s="256"/>
      <c r="O23" s="461">
        <f>CompletedProjects[[#This Row],[Power Plant Size (MW) or Share]]*0.593*9057*211.9*10^(-9)</f>
        <v>0</v>
      </c>
      <c r="P23" s="337">
        <f>CompletedProjects[[#This Row],[Annual Emissions (MMTCO2)]]*40</f>
        <v>0</v>
      </c>
      <c r="Q23" s="167"/>
      <c r="R23" s="167" t="s">
        <v>400</v>
      </c>
      <c r="S23" s="167" t="s">
        <v>465</v>
      </c>
      <c r="T23" s="167"/>
      <c r="U23" s="2"/>
      <c r="V23" s="2"/>
      <c r="Y23" s="2"/>
    </row>
    <row r="24" spans="1:25" ht="100.35">
      <c r="A24" s="167" t="s">
        <v>1149</v>
      </c>
      <c r="B24" s="171" t="s">
        <v>511</v>
      </c>
      <c r="C24" s="171" t="s">
        <v>464</v>
      </c>
      <c r="D24" s="172">
        <f>46500000*'Dev Bank Share by Country'!$G$9</f>
        <v>768388.23112680926</v>
      </c>
      <c r="E24" s="173" t="s">
        <v>423</v>
      </c>
      <c r="F24" s="173" t="s">
        <v>424</v>
      </c>
      <c r="G24" s="262" t="s">
        <v>774</v>
      </c>
      <c r="H24" s="173" t="s">
        <v>65</v>
      </c>
      <c r="I24" s="173" t="s">
        <v>284</v>
      </c>
      <c r="J24" s="173" t="s">
        <v>79</v>
      </c>
      <c r="K24" s="241">
        <v>39898</v>
      </c>
      <c r="L24" s="173" t="s">
        <v>920</v>
      </c>
      <c r="M24" s="273"/>
      <c r="N24" s="256"/>
      <c r="O24" s="461">
        <f>CompletedProjects[[#This Row],[Power Plant Size (MW) or Share]]*0.593*9057*211.9*10^(-9)</f>
        <v>0</v>
      </c>
      <c r="P24" s="337">
        <f>CompletedProjects[[#This Row],[Annual Emissions (MMTCO2)]]*40</f>
        <v>0</v>
      </c>
      <c r="Q24" s="167"/>
      <c r="R24" s="167" t="s">
        <v>400</v>
      </c>
      <c r="S24" s="167" t="s">
        <v>465</v>
      </c>
      <c r="T24" s="167"/>
      <c r="U24" s="2"/>
      <c r="V24" s="2"/>
      <c r="Y24" s="2"/>
    </row>
    <row r="25" spans="1:25" ht="272.35000000000002">
      <c r="A25" s="167" t="s">
        <v>1149</v>
      </c>
      <c r="B25" s="167" t="s">
        <v>513</v>
      </c>
      <c r="C25" s="171" t="s">
        <v>464</v>
      </c>
      <c r="D25" s="172">
        <f>29600000*'Dev Bank Share by Country'!$C$9</f>
        <v>257519.99999999997</v>
      </c>
      <c r="E25" s="173" t="s">
        <v>266</v>
      </c>
      <c r="F25" s="173" t="s">
        <v>444</v>
      </c>
      <c r="G25" s="262" t="s">
        <v>781</v>
      </c>
      <c r="H25" s="173" t="s">
        <v>85</v>
      </c>
      <c r="I25" s="173" t="s">
        <v>284</v>
      </c>
      <c r="J25" s="173" t="s">
        <v>1498</v>
      </c>
      <c r="K25" s="241">
        <v>41163</v>
      </c>
      <c r="L25" s="173" t="s">
        <v>825</v>
      </c>
      <c r="M25" s="262"/>
      <c r="N25" s="256"/>
      <c r="O25" s="461">
        <f>CompletedProjects[[#This Row],[Power Plant Size (MW) or Share]]*0.593*9057*211.9*10^(-9)</f>
        <v>0</v>
      </c>
      <c r="P25" s="337">
        <f>CompletedProjects[[#This Row],[Annual Emissions (MMTCO2)]]*40</f>
        <v>0</v>
      </c>
      <c r="Q25" s="167"/>
      <c r="R25" s="167" t="s">
        <v>400</v>
      </c>
      <c r="S25" s="167" t="s">
        <v>465</v>
      </c>
      <c r="T25" s="167"/>
      <c r="U25" s="2"/>
      <c r="V25" s="2"/>
      <c r="Y25" s="2"/>
    </row>
    <row r="26" spans="1:25" ht="157.69999999999999">
      <c r="A26" s="167" t="s">
        <v>1149</v>
      </c>
      <c r="B26" s="167" t="s">
        <v>401</v>
      </c>
      <c r="C26" s="182" t="s">
        <v>464</v>
      </c>
      <c r="D26" s="172">
        <f>2000000*'Dev Bank Share by Country'!$E$9</f>
        <v>4357.2598878744548</v>
      </c>
      <c r="E26" s="173" t="s">
        <v>410</v>
      </c>
      <c r="F26" s="173" t="s">
        <v>411</v>
      </c>
      <c r="G26" s="262" t="s">
        <v>777</v>
      </c>
      <c r="H26" s="173" t="s">
        <v>412</v>
      </c>
      <c r="I26" s="173" t="s">
        <v>284</v>
      </c>
      <c r="J26" s="173" t="s">
        <v>1498</v>
      </c>
      <c r="K26" s="241">
        <v>39261</v>
      </c>
      <c r="L26" s="173" t="s">
        <v>916</v>
      </c>
      <c r="M26" s="262"/>
      <c r="N26" s="256"/>
      <c r="O26" s="461">
        <f>CompletedProjects[[#This Row],[Power Plant Size (MW) or Share]]*0.593*9057*211.9*10^(-9)</f>
        <v>0</v>
      </c>
      <c r="P26" s="337">
        <f>CompletedProjects[[#This Row],[Annual Emissions (MMTCO2)]]*40</f>
        <v>0</v>
      </c>
      <c r="Q26" s="167"/>
      <c r="R26" s="167" t="s">
        <v>400</v>
      </c>
      <c r="S26" s="167" t="s">
        <v>633</v>
      </c>
      <c r="T26" s="167"/>
      <c r="U26" s="2"/>
      <c r="V26" s="2"/>
      <c r="Y26" s="2"/>
    </row>
    <row r="27" spans="1:25" ht="114.7">
      <c r="A27" s="167" t="s">
        <v>1149</v>
      </c>
      <c r="B27" s="167" t="s">
        <v>513</v>
      </c>
      <c r="C27" s="182" t="s">
        <v>464</v>
      </c>
      <c r="D27" s="172">
        <f>3040000000*'Dev Bank Share by Country'!$C$9</f>
        <v>26448000</v>
      </c>
      <c r="E27" s="173" t="s">
        <v>41</v>
      </c>
      <c r="F27" s="173" t="s">
        <v>432</v>
      </c>
      <c r="G27" s="262" t="s">
        <v>773</v>
      </c>
      <c r="H27" s="173" t="s">
        <v>25</v>
      </c>
      <c r="I27" s="180" t="s">
        <v>283</v>
      </c>
      <c r="J27" s="173" t="s">
        <v>26</v>
      </c>
      <c r="K27" s="241">
        <v>40276</v>
      </c>
      <c r="L27" s="173" t="s">
        <v>923</v>
      </c>
      <c r="M27" s="273"/>
      <c r="N27" s="337">
        <f>4800/19/2</f>
        <v>126.31578947368421</v>
      </c>
      <c r="O27" s="461">
        <f>CompletedProjects[[#This Row],[Power Plant Size (MW) or Share]]*0.593*9057*211.9*10^(-9)</f>
        <v>0.14375655560842107</v>
      </c>
      <c r="P27" s="337">
        <f>CompletedProjects[[#This Row],[Annual Emissions (MMTCO2)]]*40</f>
        <v>5.7502622243368426</v>
      </c>
      <c r="Q27" s="167"/>
      <c r="R27" s="178" t="s">
        <v>643</v>
      </c>
      <c r="S27" s="167" t="s">
        <v>465</v>
      </c>
      <c r="T27" s="178"/>
      <c r="U27" s="2"/>
      <c r="V27" s="2"/>
      <c r="Y27" s="2"/>
    </row>
    <row r="28" spans="1:25" ht="100.35">
      <c r="A28" s="167" t="s">
        <v>1149</v>
      </c>
      <c r="B28" s="167" t="s">
        <v>513</v>
      </c>
      <c r="C28" s="167" t="s">
        <v>464</v>
      </c>
      <c r="D28" s="172">
        <f>379060000*'Dev Bank Share by Country'!$C$9</f>
        <v>3297822</v>
      </c>
      <c r="E28" s="173" t="s">
        <v>429</v>
      </c>
      <c r="F28" s="173" t="s">
        <v>430</v>
      </c>
      <c r="G28" s="262" t="s">
        <v>779</v>
      </c>
      <c r="H28" s="173" t="s">
        <v>431</v>
      </c>
      <c r="I28" s="180" t="s">
        <v>283</v>
      </c>
      <c r="J28" s="173" t="s">
        <v>26</v>
      </c>
      <c r="K28" s="241">
        <v>40115</v>
      </c>
      <c r="L28" s="173" t="s">
        <v>922</v>
      </c>
      <c r="M28" s="262"/>
      <c r="N28" s="337">
        <f>600/19/2</f>
        <v>15.789473684210526</v>
      </c>
      <c r="O28" s="461">
        <f>CompletedProjects[[#This Row],[Power Plant Size (MW) or Share]]*0.593*9057*211.9*10^(-9)</f>
        <v>1.7969569451052634E-2</v>
      </c>
      <c r="P28" s="337">
        <f>CompletedProjects[[#This Row],[Annual Emissions (MMTCO2)]]*40</f>
        <v>0.71878277804210533</v>
      </c>
      <c r="Q28" s="167"/>
      <c r="R28" s="178" t="s">
        <v>640</v>
      </c>
      <c r="S28" s="167" t="s">
        <v>633</v>
      </c>
      <c r="T28" s="178"/>
      <c r="U28" s="2"/>
      <c r="V28" s="2"/>
      <c r="Y28" s="2"/>
    </row>
    <row r="29" spans="1:25" ht="172">
      <c r="A29" s="167" t="s">
        <v>1149</v>
      </c>
      <c r="B29" s="167" t="s">
        <v>401</v>
      </c>
      <c r="C29" s="182" t="s">
        <v>464</v>
      </c>
      <c r="D29" s="172">
        <f>21000000*'Dev Bank Share by Country'!$E$9</f>
        <v>45751.228822681776</v>
      </c>
      <c r="E29" s="173" t="s">
        <v>451</v>
      </c>
      <c r="F29" s="173" t="s">
        <v>452</v>
      </c>
      <c r="G29" s="262" t="s">
        <v>793</v>
      </c>
      <c r="H29" s="173" t="s">
        <v>453</v>
      </c>
      <c r="I29" s="173" t="s">
        <v>284</v>
      </c>
      <c r="J29" s="173" t="s">
        <v>1498</v>
      </c>
      <c r="K29" s="241">
        <v>41471</v>
      </c>
      <c r="L29" s="173" t="s">
        <v>926</v>
      </c>
      <c r="M29" s="262" t="s">
        <v>898</v>
      </c>
      <c r="N29" s="256"/>
      <c r="O29" s="461">
        <f>CompletedProjects[[#This Row],[Power Plant Size (MW) or Share]]*0.593*9057*211.9*10^(-9)</f>
        <v>0</v>
      </c>
      <c r="P29" s="337">
        <f>CompletedProjects[[#This Row],[Annual Emissions (MMTCO2)]]*40</f>
        <v>0</v>
      </c>
      <c r="Q29" s="167"/>
      <c r="R29" s="167" t="s">
        <v>400</v>
      </c>
      <c r="S29" s="167" t="s">
        <v>633</v>
      </c>
      <c r="T29" s="167" t="s">
        <v>537</v>
      </c>
      <c r="U29" s="2"/>
      <c r="V29" s="2"/>
      <c r="Y29" s="2"/>
    </row>
    <row r="30" spans="1:25" ht="172">
      <c r="A30" s="167" t="s">
        <v>1149</v>
      </c>
      <c r="B30" s="167" t="s">
        <v>401</v>
      </c>
      <c r="C30" s="182" t="s">
        <v>464</v>
      </c>
      <c r="D30" s="172">
        <f>12100000*'Dev Bank Share by Country'!$E$9</f>
        <v>26361.422321640453</v>
      </c>
      <c r="E30" s="173" t="s">
        <v>451</v>
      </c>
      <c r="F30" s="173" t="s">
        <v>452</v>
      </c>
      <c r="G30" s="262" t="s">
        <v>793</v>
      </c>
      <c r="H30" s="173" t="s">
        <v>453</v>
      </c>
      <c r="I30" s="173" t="s">
        <v>284</v>
      </c>
      <c r="J30" s="173" t="s">
        <v>1498</v>
      </c>
      <c r="K30" s="241">
        <v>41471</v>
      </c>
      <c r="L30" s="173" t="s">
        <v>926</v>
      </c>
      <c r="M30" s="262" t="s">
        <v>898</v>
      </c>
      <c r="N30" s="256"/>
      <c r="O30" s="461">
        <f>CompletedProjects[[#This Row],[Power Plant Size (MW) or Share]]*0.593*9057*211.9*10^(-9)</f>
        <v>0</v>
      </c>
      <c r="P30" s="337">
        <f>CompletedProjects[[#This Row],[Annual Emissions (MMTCO2)]]*40</f>
        <v>0</v>
      </c>
      <c r="Q30" s="167"/>
      <c r="R30" s="167" t="s">
        <v>400</v>
      </c>
      <c r="S30" s="167" t="s">
        <v>633</v>
      </c>
      <c r="T30" s="167" t="s">
        <v>537</v>
      </c>
      <c r="U30" s="2"/>
      <c r="V30" s="2"/>
      <c r="Y30" s="2"/>
    </row>
    <row r="31" spans="1:25" ht="215">
      <c r="A31" s="167" t="s">
        <v>1149</v>
      </c>
      <c r="B31" s="182" t="s">
        <v>511</v>
      </c>
      <c r="C31" s="182" t="s">
        <v>464</v>
      </c>
      <c r="D31" s="172">
        <f>28000000*'Dev Bank Share by Country'!$G$9</f>
        <v>462685.38648496044</v>
      </c>
      <c r="E31" s="173" t="s">
        <v>446</v>
      </c>
      <c r="F31" s="173" t="s">
        <v>447</v>
      </c>
      <c r="G31" s="262" t="s">
        <v>782</v>
      </c>
      <c r="H31" s="173" t="s">
        <v>201</v>
      </c>
      <c r="I31" s="173" t="s">
        <v>284</v>
      </c>
      <c r="J31" s="173" t="s">
        <v>1498</v>
      </c>
      <c r="K31" s="241">
        <v>41333</v>
      </c>
      <c r="L31" s="173" t="s">
        <v>832</v>
      </c>
      <c r="M31" s="262"/>
      <c r="N31" s="256">
        <f>750/19</f>
        <v>39.473684210526315</v>
      </c>
      <c r="O31" s="461">
        <f>CompletedProjects[[#This Row],[Power Plant Size (MW) or Share]]*0.593*9057*211.9*10^(-9)</f>
        <v>4.4923923627631576E-2</v>
      </c>
      <c r="P31" s="337">
        <f>CompletedProjects[[#This Row],[Annual Emissions (MMTCO2)]]*40</f>
        <v>1.7969569451052632</v>
      </c>
      <c r="Q31" s="167"/>
      <c r="R31" s="167" t="s">
        <v>639</v>
      </c>
      <c r="S31" s="167"/>
      <c r="T31" s="167"/>
      <c r="U31" s="2"/>
      <c r="V31" s="2"/>
      <c r="Y31" s="2"/>
    </row>
    <row r="32" spans="1:25" ht="86">
      <c r="A32" s="167" t="s">
        <v>1149</v>
      </c>
      <c r="B32" s="171" t="s">
        <v>511</v>
      </c>
      <c r="C32" s="171" t="s">
        <v>464</v>
      </c>
      <c r="D32" s="172">
        <f>45500000*'Dev Bank Share by Country'!$G$9</f>
        <v>751863.75303806073</v>
      </c>
      <c r="E32" s="173" t="s">
        <v>440</v>
      </c>
      <c r="F32" s="173" t="s">
        <v>441</v>
      </c>
      <c r="G32" s="262" t="s">
        <v>771</v>
      </c>
      <c r="H32" s="173" t="s">
        <v>442</v>
      </c>
      <c r="I32" s="173" t="s">
        <v>40</v>
      </c>
      <c r="J32" s="173" t="s">
        <v>443</v>
      </c>
      <c r="K32" s="241">
        <v>41060</v>
      </c>
      <c r="L32" s="173" t="s">
        <v>924</v>
      </c>
      <c r="M32" s="273"/>
      <c r="N32" s="256"/>
      <c r="O32" s="461">
        <f>CompletedProjects[[#This Row],[Power Plant Size (MW) or Share]]*0.593*9057*211.9*10^(-9)</f>
        <v>0</v>
      </c>
      <c r="P32" s="337">
        <f>CompletedProjects[[#This Row],[Annual Emissions (MMTCO2)]]*40</f>
        <v>0</v>
      </c>
      <c r="Q32" s="167"/>
      <c r="R32" s="167" t="s">
        <v>400</v>
      </c>
      <c r="S32" s="167" t="s">
        <v>465</v>
      </c>
      <c r="T32" s="167"/>
      <c r="U32" s="30"/>
      <c r="V32" s="30"/>
      <c r="Y32" s="2"/>
    </row>
    <row r="33" spans="1:25" s="82" customFormat="1" ht="215">
      <c r="A33" s="167" t="s">
        <v>1149</v>
      </c>
      <c r="B33" s="167" t="s">
        <v>401</v>
      </c>
      <c r="C33" s="182" t="s">
        <v>464</v>
      </c>
      <c r="D33" s="172">
        <f>200000000*'Dev Bank Share by Country'!$E$9</f>
        <v>435725.98878744547</v>
      </c>
      <c r="E33" s="173" t="s">
        <v>461</v>
      </c>
      <c r="F33" s="173" t="s">
        <v>462</v>
      </c>
      <c r="G33" s="262" t="s">
        <v>795</v>
      </c>
      <c r="H33" s="173" t="s">
        <v>442</v>
      </c>
      <c r="I33" s="173" t="s">
        <v>284</v>
      </c>
      <c r="J33" s="173" t="s">
        <v>1498</v>
      </c>
      <c r="K33" s="241">
        <v>41760</v>
      </c>
      <c r="L33" s="173" t="s">
        <v>831</v>
      </c>
      <c r="M33" s="262" t="s">
        <v>830</v>
      </c>
      <c r="N33" s="256"/>
      <c r="O33" s="461">
        <f>CompletedProjects[[#This Row],[Power Plant Size (MW) or Share]]*0.593*9057*211.9*10^(-9)</f>
        <v>0</v>
      </c>
      <c r="P33" s="337">
        <f>CompletedProjects[[#This Row],[Annual Emissions (MMTCO2)]]*40</f>
        <v>0</v>
      </c>
      <c r="Q33" s="167"/>
      <c r="R33" s="167" t="s">
        <v>400</v>
      </c>
      <c r="S33" s="167" t="s">
        <v>465</v>
      </c>
      <c r="T33" s="167"/>
      <c r="U33" s="30"/>
      <c r="V33" s="30"/>
    </row>
    <row r="34" spans="1:25" ht="114.7">
      <c r="A34" s="167" t="s">
        <v>1149</v>
      </c>
      <c r="B34" s="167" t="s">
        <v>401</v>
      </c>
      <c r="C34" s="171" t="s">
        <v>464</v>
      </c>
      <c r="D34" s="172">
        <f>280000*'Dev Bank Share by Country'!$E$9</f>
        <v>610.01638430242372</v>
      </c>
      <c r="E34" s="173" t="s">
        <v>437</v>
      </c>
      <c r="F34" s="173" t="s">
        <v>438</v>
      </c>
      <c r="G34" s="262" t="s">
        <v>790</v>
      </c>
      <c r="H34" s="173" t="s">
        <v>439</v>
      </c>
      <c r="I34" s="173" t="s">
        <v>284</v>
      </c>
      <c r="J34" s="173" t="s">
        <v>1498</v>
      </c>
      <c r="K34" s="241">
        <v>41039</v>
      </c>
      <c r="L34" s="173" t="s">
        <v>897</v>
      </c>
      <c r="M34" s="273" t="s">
        <v>780</v>
      </c>
      <c r="N34" s="256"/>
      <c r="O34" s="461">
        <f>CompletedProjects[[#This Row],[Power Plant Size (MW) or Share]]*0.593*9057*211.9*10^(-9)</f>
        <v>0</v>
      </c>
      <c r="P34" s="337">
        <f>CompletedProjects[[#This Row],[Annual Emissions (MMTCO2)]]*40</f>
        <v>0</v>
      </c>
      <c r="Q34" s="167"/>
      <c r="R34" s="167" t="s">
        <v>400</v>
      </c>
      <c r="S34" s="167" t="s">
        <v>465</v>
      </c>
      <c r="T34" s="167"/>
      <c r="U34" s="30"/>
      <c r="V34" s="30"/>
      <c r="Y34" s="2"/>
    </row>
    <row r="35" spans="1:25" ht="172">
      <c r="A35" s="167" t="s">
        <v>1149</v>
      </c>
      <c r="B35" s="167" t="s">
        <v>513</v>
      </c>
      <c r="C35" s="167" t="s">
        <v>464</v>
      </c>
      <c r="D35" s="172">
        <f>57000000*'Dev Bank Share by Country'!$C$9</f>
        <v>495899.99999999994</v>
      </c>
      <c r="E35" s="173" t="s">
        <v>415</v>
      </c>
      <c r="F35" s="173" t="s">
        <v>416</v>
      </c>
      <c r="G35" s="262" t="s">
        <v>772</v>
      </c>
      <c r="H35" s="173" t="s">
        <v>368</v>
      </c>
      <c r="I35" s="173" t="s">
        <v>40</v>
      </c>
      <c r="J35" s="173" t="s">
        <v>417</v>
      </c>
      <c r="K35" s="241">
        <v>39436</v>
      </c>
      <c r="L35" s="173" t="s">
        <v>918</v>
      </c>
      <c r="M35" s="273" t="s">
        <v>895</v>
      </c>
      <c r="N35" s="256"/>
      <c r="O35" s="461">
        <f>CompletedProjects[[#This Row],[Power Plant Size (MW) or Share]]*0.593*9057*211.9*10^(-9)</f>
        <v>0</v>
      </c>
      <c r="P35" s="337">
        <f>CompletedProjects[[#This Row],[Annual Emissions (MMTCO2)]]*40</f>
        <v>0</v>
      </c>
      <c r="Q35" s="167"/>
      <c r="R35" s="167" t="s">
        <v>400</v>
      </c>
      <c r="S35" s="167" t="s">
        <v>633</v>
      </c>
      <c r="T35" s="167"/>
      <c r="U35" s="30"/>
      <c r="V35" s="30"/>
      <c r="Y35" s="2"/>
    </row>
    <row r="36" spans="1:25" ht="172">
      <c r="A36" s="167" t="s">
        <v>11</v>
      </c>
      <c r="B36" s="182" t="s">
        <v>511</v>
      </c>
      <c r="C36" s="182" t="s">
        <v>464</v>
      </c>
      <c r="D36" s="172">
        <f>500000000*'Dev Bank Share by Country'!$G$11</f>
        <v>9221636.8761040196</v>
      </c>
      <c r="E36" s="183" t="s">
        <v>454</v>
      </c>
      <c r="F36" s="183" t="s">
        <v>514</v>
      </c>
      <c r="G36" s="262" t="s">
        <v>783</v>
      </c>
      <c r="H36" s="183" t="s">
        <v>515</v>
      </c>
      <c r="I36" s="180" t="s">
        <v>283</v>
      </c>
      <c r="J36" s="183" t="s">
        <v>26</v>
      </c>
      <c r="K36" s="242">
        <v>41760</v>
      </c>
      <c r="L36" s="183" t="s">
        <v>1708</v>
      </c>
      <c r="M36" s="262"/>
      <c r="N36" s="256">
        <f>(270+450)/19</f>
        <v>37.89473684210526</v>
      </c>
      <c r="O36" s="461">
        <f>CompletedProjects[[#This Row],[Power Plant Size (MW) or Share]]*0.593*9057*211.9*10^(-9)</f>
        <v>4.3126966682526316E-2</v>
      </c>
      <c r="P36" s="337">
        <f>CompletedProjects[[#This Row],[Annual Emissions (MMTCO2)]]*40</f>
        <v>1.7250786673010525</v>
      </c>
      <c r="Q36" s="176"/>
      <c r="R36" s="178" t="s">
        <v>639</v>
      </c>
      <c r="S36" s="167" t="s">
        <v>465</v>
      </c>
      <c r="T36" s="178"/>
      <c r="U36" s="2"/>
      <c r="V36" s="2"/>
      <c r="Y36" s="2"/>
    </row>
    <row r="37" spans="1:25" ht="43">
      <c r="A37" s="167" t="s">
        <v>11</v>
      </c>
      <c r="B37" s="182" t="s">
        <v>511</v>
      </c>
      <c r="C37" s="182" t="s">
        <v>464</v>
      </c>
      <c r="D37" s="172">
        <f>740000000*'Dev Bank Share by Country'!$G$11</f>
        <v>13648022.576633949</v>
      </c>
      <c r="E37" s="173" t="s">
        <v>418</v>
      </c>
      <c r="F37" s="173" t="s">
        <v>419</v>
      </c>
      <c r="G37" s="262" t="s">
        <v>765</v>
      </c>
      <c r="H37" s="173" t="s">
        <v>144</v>
      </c>
      <c r="I37" s="180" t="s">
        <v>283</v>
      </c>
      <c r="J37" s="183" t="s">
        <v>26</v>
      </c>
      <c r="K37" s="241">
        <v>39520</v>
      </c>
      <c r="L37" s="202" t="s">
        <v>817</v>
      </c>
      <c r="M37" s="262"/>
      <c r="N37" s="256">
        <f>330/19</f>
        <v>17.368421052631579</v>
      </c>
      <c r="O37" s="461">
        <f>CompletedProjects[[#This Row],[Power Plant Size (MW) or Share]]*0.593*9057*211.9*10^(-9)</f>
        <v>1.9766526396157894E-2</v>
      </c>
      <c r="P37" s="337">
        <f>CompletedProjects[[#This Row],[Annual Emissions (MMTCO2)]]*40</f>
        <v>0.79066105584631574</v>
      </c>
      <c r="Q37" s="176"/>
      <c r="R37" s="167" t="s">
        <v>400</v>
      </c>
      <c r="S37" s="167" t="s">
        <v>633</v>
      </c>
      <c r="T37" s="167"/>
      <c r="U37" s="2"/>
      <c r="V37" s="2"/>
      <c r="Y37" s="2"/>
    </row>
    <row r="38" spans="1:25" ht="172">
      <c r="A38" s="167" t="s">
        <v>11</v>
      </c>
      <c r="B38" s="167" t="s">
        <v>401</v>
      </c>
      <c r="C38" s="182" t="s">
        <v>464</v>
      </c>
      <c r="D38" s="172">
        <f>1120000*'Dev Bank Share by Country'!$E$11</f>
        <v>13964.689640272554</v>
      </c>
      <c r="E38" s="173" t="s">
        <v>402</v>
      </c>
      <c r="F38" s="173" t="s">
        <v>403</v>
      </c>
      <c r="G38" s="262" t="s">
        <v>785</v>
      </c>
      <c r="H38" s="173" t="s">
        <v>404</v>
      </c>
      <c r="I38" s="173" t="s">
        <v>284</v>
      </c>
      <c r="J38" s="173" t="s">
        <v>1498</v>
      </c>
      <c r="K38" s="241">
        <v>39224</v>
      </c>
      <c r="L38" s="173" t="s">
        <v>826</v>
      </c>
      <c r="M38" s="262" t="s">
        <v>785</v>
      </c>
      <c r="N38" s="256"/>
      <c r="O38" s="461">
        <f>CompletedProjects[[#This Row],[Power Plant Size (MW) or Share]]*0.593*9057*211.9*10^(-9)</f>
        <v>0</v>
      </c>
      <c r="P38" s="337">
        <f>CompletedProjects[[#This Row],[Annual Emissions (MMTCO2)]]*40</f>
        <v>0</v>
      </c>
      <c r="Q38" s="167"/>
      <c r="R38" s="167" t="s">
        <v>400</v>
      </c>
      <c r="S38" s="167" t="s">
        <v>633</v>
      </c>
      <c r="T38" s="167" t="s">
        <v>537</v>
      </c>
      <c r="U38" s="2"/>
      <c r="V38" s="2"/>
      <c r="Y38" s="2"/>
    </row>
    <row r="39" spans="1:25" ht="71.7">
      <c r="A39" s="167" t="s">
        <v>11</v>
      </c>
      <c r="B39" s="186" t="s">
        <v>519</v>
      </c>
      <c r="C39" s="167" t="s">
        <v>464</v>
      </c>
      <c r="D39" s="172">
        <f>350000*'Dev Bank Share by Country'!$K$11</f>
        <v>20265</v>
      </c>
      <c r="E39" s="173" t="s">
        <v>542</v>
      </c>
      <c r="F39" s="173" t="s">
        <v>543</v>
      </c>
      <c r="G39" s="262"/>
      <c r="H39" s="173" t="s">
        <v>201</v>
      </c>
      <c r="I39" s="173" t="s">
        <v>40</v>
      </c>
      <c r="J39" s="173" t="s">
        <v>40</v>
      </c>
      <c r="K39" s="241">
        <v>41977</v>
      </c>
      <c r="L39" s="173" t="s">
        <v>1713</v>
      </c>
      <c r="M39" s="262" t="s">
        <v>805</v>
      </c>
      <c r="N39" s="102"/>
      <c r="O39" s="461">
        <f>CompletedProjects[[#This Row],[Power Plant Size (MW) or Share]]*0.593*9057*211.9*10^(-9)</f>
        <v>0</v>
      </c>
      <c r="P39" s="337">
        <f>CompletedProjects[[#This Row],[Annual Emissions (MMTCO2)]]*40</f>
        <v>0</v>
      </c>
      <c r="Q39" s="173"/>
      <c r="R39" s="178"/>
      <c r="S39" s="167"/>
      <c r="T39" s="178"/>
      <c r="U39" s="2"/>
      <c r="V39" s="2"/>
      <c r="Y39" s="2"/>
    </row>
    <row r="40" spans="1:25" ht="43">
      <c r="A40" s="218" t="s">
        <v>11</v>
      </c>
      <c r="B40" s="218" t="s">
        <v>559</v>
      </c>
      <c r="C40" s="218" t="s">
        <v>464</v>
      </c>
      <c r="D40" s="172">
        <v>563181.56407228881</v>
      </c>
      <c r="E40" s="173" t="s">
        <v>602</v>
      </c>
      <c r="F40" s="173" t="s">
        <v>603</v>
      </c>
      <c r="G40" s="262" t="s">
        <v>801</v>
      </c>
      <c r="H40" s="173" t="s">
        <v>39</v>
      </c>
      <c r="I40" s="180" t="s">
        <v>283</v>
      </c>
      <c r="J40" s="173" t="s">
        <v>277</v>
      </c>
      <c r="K40" s="240">
        <v>40561</v>
      </c>
      <c r="L40" s="173" t="s">
        <v>910</v>
      </c>
      <c r="M40" s="262"/>
      <c r="N40" s="337">
        <f>60/12</f>
        <v>5</v>
      </c>
      <c r="O40" s="461">
        <f>CompletedProjects[[#This Row],[Power Plant Size (MW) or Share]]*0.593*9057*211.9*10^(-9)</f>
        <v>5.6903636594999992E-3</v>
      </c>
      <c r="P40" s="337">
        <f>CompletedProjects[[#This Row],[Annual Emissions (MMTCO2)]]*40</f>
        <v>0.22761454637999998</v>
      </c>
      <c r="Q40" s="176"/>
      <c r="R40" s="178" t="s">
        <v>537</v>
      </c>
      <c r="S40" s="167"/>
      <c r="T40" s="178"/>
      <c r="U40" s="2"/>
      <c r="V40" s="2"/>
      <c r="Y40" s="2"/>
    </row>
    <row r="41" spans="1:25" ht="43">
      <c r="A41" s="181" t="s">
        <v>11</v>
      </c>
      <c r="B41" s="171" t="s">
        <v>559</v>
      </c>
      <c r="C41" s="171" t="s">
        <v>464</v>
      </c>
      <c r="D41" s="172">
        <v>710320.6248466596</v>
      </c>
      <c r="E41" s="173" t="s">
        <v>610</v>
      </c>
      <c r="F41" s="173" t="s">
        <v>610</v>
      </c>
      <c r="G41" s="262" t="s">
        <v>1604</v>
      </c>
      <c r="H41" s="173" t="s">
        <v>368</v>
      </c>
      <c r="I41" s="173" t="s">
        <v>40</v>
      </c>
      <c r="J41" s="173" t="s">
        <v>40</v>
      </c>
      <c r="K41" s="240">
        <v>41264</v>
      </c>
      <c r="L41" s="173" t="s">
        <v>913</v>
      </c>
      <c r="M41" s="262"/>
      <c r="N41" s="337"/>
      <c r="O41" s="461">
        <f>CompletedProjects[[#This Row],[Power Plant Size (MW) or Share]]*0.593*9057*211.9*10^(-9)</f>
        <v>0</v>
      </c>
      <c r="P41" s="337">
        <f>CompletedProjects[[#This Row],[Annual Emissions (MMTCO2)]]*40</f>
        <v>0</v>
      </c>
      <c r="Q41" s="176"/>
      <c r="R41" s="178"/>
      <c r="S41" s="167"/>
      <c r="T41" s="178"/>
      <c r="U41" s="2"/>
      <c r="V41" s="2"/>
      <c r="Y41" s="2"/>
    </row>
    <row r="42" spans="1:25" ht="258">
      <c r="A42" s="167" t="s">
        <v>11</v>
      </c>
      <c r="B42" s="167" t="s">
        <v>401</v>
      </c>
      <c r="C42" s="182" t="s">
        <v>464</v>
      </c>
      <c r="D42" s="172">
        <f>11000000*'Dev Bank Share by Country'!$E$11</f>
        <v>137153.20182410543</v>
      </c>
      <c r="E42" s="173" t="s">
        <v>420</v>
      </c>
      <c r="F42" s="173" t="s">
        <v>421</v>
      </c>
      <c r="G42" s="262" t="s">
        <v>769</v>
      </c>
      <c r="H42" s="173" t="s">
        <v>422</v>
      </c>
      <c r="I42" s="180" t="s">
        <v>283</v>
      </c>
      <c r="J42" s="173" t="s">
        <v>277</v>
      </c>
      <c r="K42" s="241">
        <v>39777</v>
      </c>
      <c r="L42" s="197"/>
      <c r="M42" s="273"/>
      <c r="N42" s="256"/>
      <c r="O42" s="461">
        <f>CompletedProjects[[#This Row],[Power Plant Size (MW) or Share]]*0.593*9057*211.9*10^(-9)</f>
        <v>0</v>
      </c>
      <c r="P42" s="337">
        <f>CompletedProjects[[#This Row],[Annual Emissions (MMTCO2)]]*40</f>
        <v>0</v>
      </c>
      <c r="Q42" s="167"/>
      <c r="R42" s="173" t="s">
        <v>834</v>
      </c>
      <c r="S42" s="167" t="s">
        <v>633</v>
      </c>
      <c r="T42" s="173"/>
      <c r="U42" s="2"/>
      <c r="V42" s="2"/>
      <c r="Y42" s="2"/>
    </row>
    <row r="43" spans="1:25" ht="71.7">
      <c r="A43" s="167" t="s">
        <v>11</v>
      </c>
      <c r="B43" s="186" t="s">
        <v>519</v>
      </c>
      <c r="C43" s="167" t="s">
        <v>464</v>
      </c>
      <c r="D43" s="172">
        <f>900525000*'Dev Bank Share by Country'!$K$11</f>
        <v>52140397.5</v>
      </c>
      <c r="E43" s="173" t="s">
        <v>510</v>
      </c>
      <c r="F43" s="173" t="s">
        <v>541</v>
      </c>
      <c r="G43" s="262"/>
      <c r="H43" s="173" t="s">
        <v>442</v>
      </c>
      <c r="I43" s="180" t="s">
        <v>283</v>
      </c>
      <c r="J43" s="173" t="s">
        <v>26</v>
      </c>
      <c r="K43" s="241">
        <v>41617</v>
      </c>
      <c r="L43" s="178" t="s">
        <v>1712</v>
      </c>
      <c r="M43" s="262" t="s">
        <v>902</v>
      </c>
      <c r="N43" s="337">
        <f>600/13</f>
        <v>46.153846153846153</v>
      </c>
      <c r="O43" s="461">
        <f>CompletedProjects[[#This Row],[Power Plant Size (MW) or Share]]*0.593*9057*211.9*10^(-9)</f>
        <v>5.2526433780000006E-2</v>
      </c>
      <c r="P43" s="337">
        <f>CompletedProjects[[#This Row],[Annual Emissions (MMTCO2)]]*40</f>
        <v>2.1010573512000001</v>
      </c>
      <c r="Q43" s="176"/>
      <c r="R43" s="178" t="s">
        <v>524</v>
      </c>
      <c r="S43" s="167"/>
      <c r="T43" s="178"/>
      <c r="U43" s="2"/>
      <c r="V43" s="2"/>
      <c r="Y43" s="2"/>
    </row>
    <row r="44" spans="1:25" ht="28.7">
      <c r="A44" s="181" t="s">
        <v>11</v>
      </c>
      <c r="B44" s="182" t="s">
        <v>519</v>
      </c>
      <c r="C44" s="182" t="s">
        <v>464</v>
      </c>
      <c r="D44" s="172">
        <f>70500000*'Dev Bank Share by Country'!$K$11</f>
        <v>4081950</v>
      </c>
      <c r="E44" s="183" t="s">
        <v>1400</v>
      </c>
      <c r="F44" s="183" t="s">
        <v>1399</v>
      </c>
      <c r="G44" s="267" t="s">
        <v>1401</v>
      </c>
      <c r="H44" s="183" t="s">
        <v>273</v>
      </c>
      <c r="I44" s="180" t="s">
        <v>283</v>
      </c>
      <c r="J44" s="183" t="s">
        <v>26</v>
      </c>
      <c r="K44" s="242">
        <v>40813</v>
      </c>
      <c r="L44" s="183" t="s">
        <v>1711</v>
      </c>
      <c r="M44" s="262"/>
      <c r="N44" s="338"/>
      <c r="O44" s="461">
        <f>CompletedProjects[[#This Row],[Power Plant Size (MW) or Share]]*0.593*9057*211.9*10^(-9)</f>
        <v>0</v>
      </c>
      <c r="P44" s="337">
        <f>CompletedProjects[[#This Row],[Annual Emissions (MMTCO2)]]*40</f>
        <v>0</v>
      </c>
      <c r="Q44" s="176"/>
      <c r="R44" s="185"/>
      <c r="S44" s="181"/>
      <c r="T44" s="185"/>
      <c r="U44" s="2"/>
      <c r="V44" s="2"/>
      <c r="Y44" s="2"/>
    </row>
    <row r="45" spans="1:25" ht="57.35">
      <c r="A45" s="167" t="s">
        <v>11</v>
      </c>
      <c r="B45" s="186" t="s">
        <v>519</v>
      </c>
      <c r="C45" s="167" t="s">
        <v>464</v>
      </c>
      <c r="D45" s="172">
        <f>200000000*'Dev Bank Share by Country'!$K$11</f>
        <v>11580000</v>
      </c>
      <c r="E45" s="173" t="s">
        <v>413</v>
      </c>
      <c r="F45" s="173" t="s">
        <v>523</v>
      </c>
      <c r="G45" s="262"/>
      <c r="H45" s="173" t="s">
        <v>95</v>
      </c>
      <c r="I45" s="180" t="s">
        <v>283</v>
      </c>
      <c r="J45" s="173" t="s">
        <v>277</v>
      </c>
      <c r="K45" s="241">
        <v>39554</v>
      </c>
      <c r="L45" s="167" t="s">
        <v>1319</v>
      </c>
      <c r="M45" s="262"/>
      <c r="N45" s="256">
        <f>600/13/2</f>
        <v>23.076923076923077</v>
      </c>
      <c r="O45" s="461">
        <f>CompletedProjects[[#This Row],[Power Plant Size (MW) or Share]]*0.593*9057*211.9*10^(-9)</f>
        <v>2.6263216890000003E-2</v>
      </c>
      <c r="P45" s="337">
        <f>CompletedProjects[[#This Row],[Annual Emissions (MMTCO2)]]*40</f>
        <v>1.0505286756000001</v>
      </c>
      <c r="Q45" s="203"/>
      <c r="R45" s="167" t="s">
        <v>641</v>
      </c>
      <c r="S45" s="167"/>
      <c r="T45" s="167"/>
      <c r="U45" s="2"/>
      <c r="V45" s="2"/>
      <c r="Y45" s="2"/>
    </row>
    <row r="46" spans="1:25" ht="43">
      <c r="A46" s="167" t="s">
        <v>11</v>
      </c>
      <c r="B46" s="186" t="s">
        <v>519</v>
      </c>
      <c r="C46" s="167" t="s">
        <v>464</v>
      </c>
      <c r="D46" s="172">
        <f>27860000*'Dev Bank Share by Country'!$K$11</f>
        <v>1613094</v>
      </c>
      <c r="E46" s="173" t="s">
        <v>520</v>
      </c>
      <c r="F46" s="173" t="s">
        <v>521</v>
      </c>
      <c r="G46" s="262"/>
      <c r="H46" s="173" t="s">
        <v>63</v>
      </c>
      <c r="I46" s="180" t="s">
        <v>283</v>
      </c>
      <c r="J46" s="173" t="s">
        <v>26</v>
      </c>
      <c r="K46" s="241">
        <v>39357</v>
      </c>
      <c r="L46" s="167" t="s">
        <v>1320</v>
      </c>
      <c r="M46" s="262"/>
      <c r="N46" s="256">
        <f>1080/13</f>
        <v>83.07692307692308</v>
      </c>
      <c r="O46" s="461">
        <f>CompletedProjects[[#This Row],[Power Plant Size (MW) or Share]]*0.593*9057*211.9*10^(-9)</f>
        <v>9.4547580804000012E-2</v>
      </c>
      <c r="P46" s="337">
        <f>CompletedProjects[[#This Row],[Annual Emissions (MMTCO2)]]*40</f>
        <v>3.7819032321600003</v>
      </c>
      <c r="Q46" s="203"/>
      <c r="R46" s="167" t="s">
        <v>522</v>
      </c>
      <c r="S46" s="167"/>
      <c r="T46" s="167"/>
      <c r="U46" s="2"/>
      <c r="V46" s="2"/>
      <c r="Y46" s="2"/>
    </row>
    <row r="47" spans="1:25" ht="43">
      <c r="A47" s="167" t="s">
        <v>11</v>
      </c>
      <c r="B47" s="173" t="s">
        <v>957</v>
      </c>
      <c r="C47" s="171" t="s">
        <v>336</v>
      </c>
      <c r="D47" s="172">
        <v>149600000</v>
      </c>
      <c r="E47" s="173" t="s">
        <v>35</v>
      </c>
      <c r="F47" s="173" t="s">
        <v>35</v>
      </c>
      <c r="G47" s="269"/>
      <c r="H47" s="173" t="s">
        <v>35</v>
      </c>
      <c r="I47" s="173" t="s">
        <v>40</v>
      </c>
      <c r="J47" s="173" t="s">
        <v>40</v>
      </c>
      <c r="K47" s="240">
        <v>39814</v>
      </c>
      <c r="L47" s="197"/>
      <c r="M47" s="262" t="s">
        <v>12</v>
      </c>
      <c r="N47" s="337"/>
      <c r="O47" s="461">
        <f>CompletedProjects[[#This Row],[Power Plant Size (MW) or Share]]*0.593*9057*211.9*10^(-9)</f>
        <v>0</v>
      </c>
      <c r="P47" s="337">
        <f>CompletedProjects[[#This Row],[Annual Emissions (MMTCO2)]]*40</f>
        <v>0</v>
      </c>
      <c r="Q47" s="176"/>
      <c r="R47" s="173"/>
      <c r="S47" s="167"/>
      <c r="T47" s="173"/>
      <c r="U47" s="2"/>
      <c r="V47" s="2"/>
      <c r="Y47" s="2"/>
    </row>
    <row r="48" spans="1:25" ht="114.7">
      <c r="A48" s="167" t="s">
        <v>11</v>
      </c>
      <c r="B48" s="171" t="s">
        <v>559</v>
      </c>
      <c r="C48" s="171" t="s">
        <v>464</v>
      </c>
      <c r="D48" s="172">
        <v>2023013.8552251642</v>
      </c>
      <c r="E48" s="173" t="s">
        <v>560</v>
      </c>
      <c r="F48" s="173" t="s">
        <v>561</v>
      </c>
      <c r="G48" s="262" t="s">
        <v>790</v>
      </c>
      <c r="H48" s="173" t="s">
        <v>56</v>
      </c>
      <c r="I48" s="173" t="s">
        <v>284</v>
      </c>
      <c r="J48" s="173" t="s">
        <v>79</v>
      </c>
      <c r="K48" s="240">
        <v>42278</v>
      </c>
      <c r="L48" s="173" t="s">
        <v>865</v>
      </c>
      <c r="M48" s="262" t="s">
        <v>866</v>
      </c>
      <c r="N48" s="337"/>
      <c r="O48" s="461">
        <f>CompletedProjects[[#This Row],[Power Plant Size (MW) or Share]]*0.593*9057*211.9*10^(-9)</f>
        <v>0</v>
      </c>
      <c r="P48" s="337">
        <f>CompletedProjects[[#This Row],[Annual Emissions (MMTCO2)]]*40</f>
        <v>0</v>
      </c>
      <c r="Q48" s="176"/>
      <c r="R48" s="178"/>
      <c r="S48" s="167"/>
      <c r="T48" s="178"/>
      <c r="U48" s="2"/>
      <c r="V48" s="2"/>
      <c r="Y48" s="2"/>
    </row>
    <row r="49" spans="1:25" ht="86">
      <c r="A49" s="167" t="s">
        <v>11</v>
      </c>
      <c r="B49" s="182" t="s">
        <v>511</v>
      </c>
      <c r="C49" s="182" t="s">
        <v>464</v>
      </c>
      <c r="D49" s="172">
        <f>8000000*'Dev Bank Share by Country'!$G$11</f>
        <v>147546.19001766431</v>
      </c>
      <c r="E49" s="173" t="s">
        <v>405</v>
      </c>
      <c r="F49" s="173" t="s">
        <v>406</v>
      </c>
      <c r="G49" s="262" t="s">
        <v>786</v>
      </c>
      <c r="H49" s="173" t="s">
        <v>65</v>
      </c>
      <c r="I49" s="180" t="s">
        <v>283</v>
      </c>
      <c r="J49" s="173" t="s">
        <v>26</v>
      </c>
      <c r="K49" s="241">
        <v>39234</v>
      </c>
      <c r="L49" s="173" t="s">
        <v>815</v>
      </c>
      <c r="M49" s="262" t="s">
        <v>806</v>
      </c>
      <c r="N49" s="256">
        <f>600/19</f>
        <v>31.578947368421051</v>
      </c>
      <c r="O49" s="461">
        <f>CompletedProjects[[#This Row],[Power Plant Size (MW) or Share]]*0.593*9057*211.9*10^(-9)</f>
        <v>3.5939138902105268E-2</v>
      </c>
      <c r="P49" s="337">
        <f>CompletedProjects[[#This Row],[Annual Emissions (MMTCO2)]]*40</f>
        <v>1.4375655560842107</v>
      </c>
      <c r="Q49" s="167"/>
      <c r="R49" s="167" t="s">
        <v>467</v>
      </c>
      <c r="S49" s="167" t="s">
        <v>633</v>
      </c>
      <c r="T49" s="167"/>
      <c r="U49" s="2"/>
      <c r="V49" s="2"/>
      <c r="Y49" s="2"/>
    </row>
    <row r="50" spans="1:25" ht="71.7">
      <c r="A50" s="167" t="s">
        <v>11</v>
      </c>
      <c r="B50" s="186" t="s">
        <v>519</v>
      </c>
      <c r="C50" s="167" t="s">
        <v>464</v>
      </c>
      <c r="D50" s="172">
        <f>902850000*'Dev Bank Share by Country'!$K$11</f>
        <v>52275015</v>
      </c>
      <c r="E50" s="173" t="s">
        <v>91</v>
      </c>
      <c r="F50" s="173" t="s">
        <v>536</v>
      </c>
      <c r="G50" s="262"/>
      <c r="H50" s="173" t="s">
        <v>63</v>
      </c>
      <c r="I50" s="180" t="s">
        <v>283</v>
      </c>
      <c r="J50" s="173" t="s">
        <v>26</v>
      </c>
      <c r="K50" s="241">
        <v>40168</v>
      </c>
      <c r="L50" s="173" t="s">
        <v>1323</v>
      </c>
      <c r="M50" s="262"/>
      <c r="N50" s="337"/>
      <c r="O50" s="461">
        <f>CompletedProjects[[#This Row],[Power Plant Size (MW) or Share]]*0.593*9057*211.9*10^(-9)</f>
        <v>0</v>
      </c>
      <c r="P50" s="337">
        <f>CompletedProjects[[#This Row],[Annual Emissions (MMTCO2)]]*40</f>
        <v>0</v>
      </c>
      <c r="Q50" s="176"/>
      <c r="R50" s="178" t="s">
        <v>537</v>
      </c>
      <c r="S50" s="167"/>
      <c r="T50" s="178"/>
      <c r="U50" s="2"/>
      <c r="V50" s="2"/>
      <c r="Y50" s="2"/>
    </row>
    <row r="51" spans="1:25" ht="114.7">
      <c r="A51" s="167" t="s">
        <v>11</v>
      </c>
      <c r="B51" s="182" t="s">
        <v>511</v>
      </c>
      <c r="C51" s="182" t="s">
        <v>464</v>
      </c>
      <c r="D51" s="172">
        <f>275000000*'Dev Bank Share by Country'!$G$11</f>
        <v>5071900.2818572102</v>
      </c>
      <c r="E51" s="173" t="s">
        <v>413</v>
      </c>
      <c r="F51" s="173" t="s">
        <v>413</v>
      </c>
      <c r="G51" s="262" t="s">
        <v>766</v>
      </c>
      <c r="H51" s="173" t="s">
        <v>95</v>
      </c>
      <c r="I51" s="180" t="s">
        <v>283</v>
      </c>
      <c r="J51" s="173" t="s">
        <v>277</v>
      </c>
      <c r="K51" s="241">
        <v>39394</v>
      </c>
      <c r="L51" s="173" t="s">
        <v>917</v>
      </c>
      <c r="M51" s="262"/>
      <c r="N51" s="256">
        <f>600/7/2</f>
        <v>42.857142857142854</v>
      </c>
      <c r="O51" s="461">
        <f>CompletedProjects[[#This Row],[Power Plant Size (MW) or Share]]*0.593*9057*211.9*10^(-9)</f>
        <v>4.8774545652857132E-2</v>
      </c>
      <c r="P51" s="337">
        <f>CompletedProjects[[#This Row],[Annual Emissions (MMTCO2)]]*40</f>
        <v>1.9509818261142853</v>
      </c>
      <c r="Q51" s="167"/>
      <c r="R51" s="167" t="s">
        <v>640</v>
      </c>
      <c r="S51" s="167" t="s">
        <v>465</v>
      </c>
      <c r="T51" s="167"/>
      <c r="U51" s="2"/>
      <c r="V51" s="2"/>
      <c r="Y51" s="2"/>
    </row>
    <row r="52" spans="1:25" s="82" customFormat="1" ht="57.35">
      <c r="A52" s="181" t="s">
        <v>11</v>
      </c>
      <c r="B52" s="182" t="s">
        <v>519</v>
      </c>
      <c r="C52" s="182" t="s">
        <v>464</v>
      </c>
      <c r="D52" s="172">
        <f>450000000*'Dev Bank Share by Country'!$K$11</f>
        <v>26055000</v>
      </c>
      <c r="E52" s="183" t="s">
        <v>1395</v>
      </c>
      <c r="F52" s="183" t="s">
        <v>1393</v>
      </c>
      <c r="G52" s="262" t="s">
        <v>1394</v>
      </c>
      <c r="H52" s="183" t="s">
        <v>65</v>
      </c>
      <c r="I52" s="180" t="s">
        <v>283</v>
      </c>
      <c r="J52" s="183" t="s">
        <v>26</v>
      </c>
      <c r="K52" s="242">
        <v>39562</v>
      </c>
      <c r="L52" s="173" t="s">
        <v>525</v>
      </c>
      <c r="M52" s="262" t="s">
        <v>821</v>
      </c>
      <c r="N52" s="338">
        <f>4000/3/13</f>
        <v>102.56410256410255</v>
      </c>
      <c r="O52" s="461">
        <f>CompletedProjects[[#This Row],[Power Plant Size (MW) or Share]]*0.593*9057*211.9*10^(-9)</f>
        <v>0.11672540839999998</v>
      </c>
      <c r="P52" s="337">
        <f>CompletedProjects[[#This Row],[Annual Emissions (MMTCO2)]]*40</f>
        <v>4.6690163359999994</v>
      </c>
      <c r="Q52" s="169"/>
      <c r="R52" s="183" t="s">
        <v>1396</v>
      </c>
      <c r="S52" s="181"/>
      <c r="T52" s="183"/>
    </row>
    <row r="53" spans="1:25" ht="57.35">
      <c r="A53" s="167" t="s">
        <v>11</v>
      </c>
      <c r="B53" s="186" t="s">
        <v>519</v>
      </c>
      <c r="C53" s="167" t="s">
        <v>464</v>
      </c>
      <c r="D53" s="311"/>
      <c r="E53" s="173" t="s">
        <v>526</v>
      </c>
      <c r="F53" s="173" t="s">
        <v>527</v>
      </c>
      <c r="G53" s="174" t="s">
        <v>901</v>
      </c>
      <c r="H53" s="173" t="s">
        <v>95</v>
      </c>
      <c r="I53" s="180" t="s">
        <v>283</v>
      </c>
      <c r="J53" s="173" t="s">
        <v>277</v>
      </c>
      <c r="K53" s="241">
        <v>39601</v>
      </c>
      <c r="L53" s="172">
        <f>120000000*'Dev Bank Share by Country'!$K$11</f>
        <v>6948000</v>
      </c>
      <c r="M53" s="450"/>
      <c r="N53" s="337"/>
      <c r="O53" s="461">
        <f>CompletedProjects[[#This Row],[Power Plant Size (MW) or Share]]*0.593*9057*211.9*10^(-9)</f>
        <v>0</v>
      </c>
      <c r="P53" s="337">
        <f>CompletedProjects[[#This Row],[Annual Emissions (MMTCO2)]]*40</f>
        <v>0</v>
      </c>
      <c r="Q53" s="176"/>
      <c r="R53" s="178" t="s">
        <v>1321</v>
      </c>
      <c r="S53" s="167" t="s">
        <v>1688</v>
      </c>
      <c r="T53" s="178"/>
      <c r="U53" s="2"/>
      <c r="V53" s="2"/>
      <c r="Y53" s="2"/>
    </row>
    <row r="54" spans="1:25" ht="43">
      <c r="A54" s="167" t="s">
        <v>11</v>
      </c>
      <c r="B54" s="173" t="s">
        <v>958</v>
      </c>
      <c r="C54" s="171" t="s">
        <v>336</v>
      </c>
      <c r="D54" s="172">
        <v>28000000</v>
      </c>
      <c r="E54" s="173" t="s">
        <v>959</v>
      </c>
      <c r="F54" s="173" t="s">
        <v>959</v>
      </c>
      <c r="G54" s="262"/>
      <c r="H54" s="173" t="s">
        <v>960</v>
      </c>
      <c r="I54" s="173" t="s">
        <v>40</v>
      </c>
      <c r="J54" s="173" t="s">
        <v>961</v>
      </c>
      <c r="K54" s="246">
        <v>40179</v>
      </c>
      <c r="L54" s="173" t="s">
        <v>962</v>
      </c>
      <c r="M54" s="262" t="s">
        <v>12</v>
      </c>
      <c r="N54" s="337"/>
      <c r="O54" s="461">
        <f>CompletedProjects[[#This Row],[Power Plant Size (MW) or Share]]*0.593*9057*211.9*10^(-9)</f>
        <v>0</v>
      </c>
      <c r="P54" s="337">
        <f>CompletedProjects[[#This Row],[Annual Emissions (MMTCO2)]]*40</f>
        <v>0</v>
      </c>
      <c r="Q54" s="291"/>
      <c r="R54" s="173"/>
      <c r="S54" s="173"/>
      <c r="T54" s="173"/>
      <c r="U54" s="2"/>
      <c r="V54" s="2"/>
      <c r="Y54" s="2"/>
    </row>
    <row r="55" spans="1:25" ht="43">
      <c r="A55" s="181" t="s">
        <v>11</v>
      </c>
      <c r="B55" s="182" t="s">
        <v>559</v>
      </c>
      <c r="C55" s="182" t="s">
        <v>464</v>
      </c>
      <c r="D55" s="172">
        <v>295360.02286287397</v>
      </c>
      <c r="E55" s="173" t="s">
        <v>588</v>
      </c>
      <c r="F55" s="173" t="s">
        <v>588</v>
      </c>
      <c r="G55" s="265" t="s">
        <v>793</v>
      </c>
      <c r="H55" s="173" t="s">
        <v>201</v>
      </c>
      <c r="I55" s="173" t="s">
        <v>40</v>
      </c>
      <c r="J55" s="173" t="s">
        <v>40</v>
      </c>
      <c r="K55" s="240">
        <v>39422</v>
      </c>
      <c r="L55" s="167" t="s">
        <v>905</v>
      </c>
      <c r="M55" s="262"/>
      <c r="N55" s="337"/>
      <c r="O55" s="461">
        <f>CompletedProjects[[#This Row],[Power Plant Size (MW) or Share]]*0.593*9057*211.9*10^(-9)</f>
        <v>0</v>
      </c>
      <c r="P55" s="337">
        <f>CompletedProjects[[#This Row],[Annual Emissions (MMTCO2)]]*40</f>
        <v>0</v>
      </c>
      <c r="Q55" s="176"/>
      <c r="R55" s="178" t="s">
        <v>537</v>
      </c>
      <c r="S55" s="167"/>
      <c r="T55" s="178"/>
      <c r="U55" s="2"/>
      <c r="V55" s="2"/>
      <c r="Y55" s="2"/>
    </row>
    <row r="56" spans="1:25" ht="57.35">
      <c r="A56" s="167" t="s">
        <v>11</v>
      </c>
      <c r="B56" s="186" t="s">
        <v>519</v>
      </c>
      <c r="C56" s="167" t="s">
        <v>464</v>
      </c>
      <c r="D56" s="172">
        <f>500000*'Dev Bank Share by Country'!$K$11</f>
        <v>28950</v>
      </c>
      <c r="E56" s="173" t="s">
        <v>531</v>
      </c>
      <c r="F56" s="173" t="s">
        <v>532</v>
      </c>
      <c r="G56" s="262"/>
      <c r="H56" s="173" t="s">
        <v>239</v>
      </c>
      <c r="I56" s="180" t="s">
        <v>283</v>
      </c>
      <c r="J56" s="173" t="s">
        <v>26</v>
      </c>
      <c r="K56" s="241">
        <v>40035</v>
      </c>
      <c r="L56" s="178" t="s">
        <v>1322</v>
      </c>
      <c r="M56" s="262"/>
      <c r="N56" s="337">
        <f>600/13</f>
        <v>46.153846153846153</v>
      </c>
      <c r="O56" s="461">
        <f>CompletedProjects[[#This Row],[Power Plant Size (MW) or Share]]*0.593*9057*211.9*10^(-9)</f>
        <v>5.2526433780000006E-2</v>
      </c>
      <c r="P56" s="337">
        <f>CompletedProjects[[#This Row],[Annual Emissions (MMTCO2)]]*40</f>
        <v>2.1010573512000001</v>
      </c>
      <c r="Q56" s="176"/>
      <c r="R56" s="178" t="s">
        <v>524</v>
      </c>
      <c r="S56" s="167"/>
      <c r="T56" s="178"/>
      <c r="U56" s="2"/>
      <c r="V56" s="2"/>
      <c r="Y56" s="2"/>
    </row>
    <row r="57" spans="1:25" ht="172">
      <c r="A57" s="167" t="s">
        <v>11</v>
      </c>
      <c r="B57" s="167" t="s">
        <v>401</v>
      </c>
      <c r="C57" s="182" t="s">
        <v>464</v>
      </c>
      <c r="D57" s="172">
        <f>11250000*'Dev Bank Share by Country'!$E$11</f>
        <v>140270.32004738055</v>
      </c>
      <c r="E57" s="173" t="s">
        <v>270</v>
      </c>
      <c r="F57" s="173" t="s">
        <v>433</v>
      </c>
      <c r="G57" s="262" t="s">
        <v>767</v>
      </c>
      <c r="H57" s="173" t="s">
        <v>201</v>
      </c>
      <c r="I57" s="173" t="s">
        <v>40</v>
      </c>
      <c r="J57" s="173" t="s">
        <v>417</v>
      </c>
      <c r="K57" s="241">
        <v>40673</v>
      </c>
      <c r="L57" s="173" t="s">
        <v>828</v>
      </c>
      <c r="M57" s="273" t="s">
        <v>827</v>
      </c>
      <c r="N57" s="256"/>
      <c r="O57" s="461">
        <f>CompletedProjects[[#This Row],[Power Plant Size (MW) or Share]]*0.593*9057*211.9*10^(-9)</f>
        <v>0</v>
      </c>
      <c r="P57" s="337">
        <f>CompletedProjects[[#This Row],[Annual Emissions (MMTCO2)]]*40</f>
        <v>0</v>
      </c>
      <c r="Q57" s="167"/>
      <c r="R57" s="167" t="s">
        <v>400</v>
      </c>
      <c r="S57" s="167" t="s">
        <v>465</v>
      </c>
      <c r="T57" s="167"/>
      <c r="U57" s="2"/>
      <c r="V57" s="2"/>
      <c r="Y57" s="2"/>
    </row>
    <row r="58" spans="1:25" ht="71.7">
      <c r="A58" s="181" t="s">
        <v>11</v>
      </c>
      <c r="B58" s="182" t="s">
        <v>559</v>
      </c>
      <c r="C58" s="182" t="s">
        <v>464</v>
      </c>
      <c r="D58" s="172">
        <v>802790.26170306839</v>
      </c>
      <c r="E58" s="173" t="s">
        <v>591</v>
      </c>
      <c r="F58" s="173" t="s">
        <v>590</v>
      </c>
      <c r="G58" s="265" t="s">
        <v>794</v>
      </c>
      <c r="H58" s="173" t="s">
        <v>45</v>
      </c>
      <c r="I58" s="180" t="s">
        <v>283</v>
      </c>
      <c r="J58" s="173" t="s">
        <v>277</v>
      </c>
      <c r="K58" s="240">
        <v>39553</v>
      </c>
      <c r="L58" s="173" t="s">
        <v>906</v>
      </c>
      <c r="M58" s="262"/>
      <c r="N58" s="337"/>
      <c r="O58" s="461">
        <f>CompletedProjects[[#This Row],[Power Plant Size (MW) or Share]]*0.593*9057*211.9*10^(-9)</f>
        <v>0</v>
      </c>
      <c r="P58" s="337">
        <f>CompletedProjects[[#This Row],[Annual Emissions (MMTCO2)]]*40</f>
        <v>0</v>
      </c>
      <c r="Q58" s="176"/>
      <c r="R58" s="178"/>
      <c r="S58" s="167"/>
      <c r="T58" s="178"/>
      <c r="U58" s="2"/>
      <c r="V58" s="2"/>
      <c r="Y58" s="2"/>
    </row>
    <row r="59" spans="1:25" s="82" customFormat="1" ht="43">
      <c r="A59" s="167" t="s">
        <v>11</v>
      </c>
      <c r="B59" s="173" t="s">
        <v>958</v>
      </c>
      <c r="C59" s="171" t="s">
        <v>336</v>
      </c>
      <c r="D59" s="172">
        <v>81700000</v>
      </c>
      <c r="E59" s="173" t="s">
        <v>964</v>
      </c>
      <c r="F59" s="173" t="s">
        <v>964</v>
      </c>
      <c r="G59" s="269"/>
      <c r="H59" s="173" t="s">
        <v>965</v>
      </c>
      <c r="I59" s="173" t="s">
        <v>40</v>
      </c>
      <c r="J59" s="173" t="s">
        <v>966</v>
      </c>
      <c r="K59" s="246">
        <v>40544</v>
      </c>
      <c r="L59" s="173" t="s">
        <v>973</v>
      </c>
      <c r="M59" s="262" t="s">
        <v>12</v>
      </c>
      <c r="N59" s="337"/>
      <c r="O59" s="461">
        <f>CompletedProjects[[#This Row],[Power Plant Size (MW) or Share]]*0.593*9057*211.9*10^(-9)</f>
        <v>0</v>
      </c>
      <c r="P59" s="337">
        <f>CompletedProjects[[#This Row],[Annual Emissions (MMTCO2)]]*40</f>
        <v>0</v>
      </c>
      <c r="Q59" s="168"/>
      <c r="R59" s="173"/>
      <c r="S59" s="173"/>
      <c r="T59" s="173"/>
    </row>
    <row r="60" spans="1:25" s="82" customFormat="1" ht="43">
      <c r="A60" s="167" t="s">
        <v>11</v>
      </c>
      <c r="B60" s="173" t="s">
        <v>958</v>
      </c>
      <c r="C60" s="171" t="s">
        <v>336</v>
      </c>
      <c r="D60" s="172">
        <v>29000000</v>
      </c>
      <c r="E60" s="173" t="s">
        <v>959</v>
      </c>
      <c r="F60" s="173" t="s">
        <v>959</v>
      </c>
      <c r="G60" s="269"/>
      <c r="H60" s="173" t="s">
        <v>960</v>
      </c>
      <c r="I60" s="173" t="s">
        <v>40</v>
      </c>
      <c r="J60" s="173" t="s">
        <v>961</v>
      </c>
      <c r="K60" s="246">
        <v>40544</v>
      </c>
      <c r="L60" s="173" t="s">
        <v>963</v>
      </c>
      <c r="M60" s="262" t="s">
        <v>12</v>
      </c>
      <c r="N60" s="337"/>
      <c r="O60" s="461">
        <f>CompletedProjects[[#This Row],[Power Plant Size (MW) or Share]]*0.593*9057*211.9*10^(-9)</f>
        <v>0</v>
      </c>
      <c r="P60" s="337">
        <f>CompletedProjects[[#This Row],[Annual Emissions (MMTCO2)]]*40</f>
        <v>0</v>
      </c>
      <c r="Q60" s="168"/>
      <c r="R60" s="173"/>
      <c r="S60" s="173"/>
      <c r="T60" s="173"/>
    </row>
    <row r="61" spans="1:25" s="82" customFormat="1" ht="43">
      <c r="A61" s="181" t="s">
        <v>11</v>
      </c>
      <c r="B61" s="182" t="s">
        <v>559</v>
      </c>
      <c r="C61" s="182" t="s">
        <v>464</v>
      </c>
      <c r="D61" s="172"/>
      <c r="E61" s="173" t="s">
        <v>611</v>
      </c>
      <c r="F61" s="173" t="s">
        <v>612</v>
      </c>
      <c r="G61" s="262" t="s">
        <v>804</v>
      </c>
      <c r="H61" s="173" t="s">
        <v>613</v>
      </c>
      <c r="I61" s="180" t="s">
        <v>283</v>
      </c>
      <c r="J61" s="173" t="s">
        <v>277</v>
      </c>
      <c r="K61" s="240">
        <v>39814</v>
      </c>
      <c r="L61" s="197"/>
      <c r="M61" s="262"/>
      <c r="N61" s="337">
        <f>2310/12</f>
        <v>192.5</v>
      </c>
      <c r="O61" s="461">
        <f>CompletedProjects[[#This Row],[Power Plant Size (MW) or Share]]*0.593*9057*211.9*10^(-9)</f>
        <v>0.21907900089075</v>
      </c>
      <c r="P61" s="337">
        <f>CompletedProjects[[#This Row],[Annual Emissions (MMTCO2)]]*40</f>
        <v>8.7631600356299995</v>
      </c>
      <c r="Q61" s="176"/>
      <c r="R61" s="173" t="s">
        <v>914</v>
      </c>
      <c r="S61" s="167" t="s">
        <v>1688</v>
      </c>
      <c r="T61" s="173"/>
    </row>
    <row r="62" spans="1:25" ht="43">
      <c r="A62" s="181" t="s">
        <v>11</v>
      </c>
      <c r="B62" s="182" t="s">
        <v>559</v>
      </c>
      <c r="C62" s="182" t="s">
        <v>464</v>
      </c>
      <c r="D62" s="172">
        <v>546213.74091079435</v>
      </c>
      <c r="E62" s="173" t="s">
        <v>604</v>
      </c>
      <c r="F62" s="173" t="s">
        <v>605</v>
      </c>
      <c r="G62" s="262" t="s">
        <v>802</v>
      </c>
      <c r="H62" s="173" t="s">
        <v>493</v>
      </c>
      <c r="I62" s="180" t="s">
        <v>283</v>
      </c>
      <c r="J62" s="173" t="s">
        <v>277</v>
      </c>
      <c r="K62" s="240">
        <v>40589</v>
      </c>
      <c r="L62" s="173" t="s">
        <v>911</v>
      </c>
      <c r="M62" s="262"/>
      <c r="N62" s="337">
        <f>154/12</f>
        <v>12.833333333333334</v>
      </c>
      <c r="O62" s="461">
        <f>CompletedProjects[[#This Row],[Power Plant Size (MW) or Share]]*0.593*9057*211.9*10^(-9)</f>
        <v>1.460526672605E-2</v>
      </c>
      <c r="P62" s="337">
        <f>CompletedProjects[[#This Row],[Annual Emissions (MMTCO2)]]*40</f>
        <v>0.58421066904200003</v>
      </c>
      <c r="Q62" s="176"/>
      <c r="R62" s="178" t="s">
        <v>537</v>
      </c>
      <c r="S62" s="167"/>
      <c r="T62" s="178"/>
      <c r="U62" s="2"/>
      <c r="V62" s="2"/>
      <c r="Y62" s="2"/>
    </row>
    <row r="63" spans="1:25" ht="43">
      <c r="A63" s="181" t="s">
        <v>11</v>
      </c>
      <c r="B63" s="182" t="s">
        <v>559</v>
      </c>
      <c r="C63" s="182" t="s">
        <v>464</v>
      </c>
      <c r="D63" s="172">
        <v>347311.01866505621</v>
      </c>
      <c r="E63" s="173" t="s">
        <v>587</v>
      </c>
      <c r="F63" s="173" t="s">
        <v>587</v>
      </c>
      <c r="G63" s="262" t="s">
        <v>792</v>
      </c>
      <c r="H63" s="173" t="s">
        <v>39</v>
      </c>
      <c r="I63" s="180" t="s">
        <v>283</v>
      </c>
      <c r="J63" s="173" t="s">
        <v>277</v>
      </c>
      <c r="K63" s="240">
        <v>39415</v>
      </c>
      <c r="L63" s="167" t="s">
        <v>904</v>
      </c>
      <c r="M63" s="262"/>
      <c r="N63" s="338">
        <f>550/12</f>
        <v>45.833333333333336</v>
      </c>
      <c r="O63" s="461">
        <f>CompletedProjects[[#This Row],[Power Plant Size (MW) or Share]]*0.593*9057*211.9*10^(-9)</f>
        <v>5.2161666878750006E-2</v>
      </c>
      <c r="P63" s="337">
        <f>CompletedProjects[[#This Row],[Annual Emissions (MMTCO2)]]*40</f>
        <v>2.0864666751500001</v>
      </c>
      <c r="Q63" s="169"/>
      <c r="R63" s="178" t="s">
        <v>537</v>
      </c>
      <c r="S63" s="181"/>
      <c r="T63" s="178"/>
      <c r="U63" s="2"/>
      <c r="V63" s="2"/>
      <c r="Y63" s="2"/>
    </row>
    <row r="64" spans="1:25" ht="86">
      <c r="A64" s="167" t="s">
        <v>11</v>
      </c>
      <c r="B64" s="186" t="s">
        <v>519</v>
      </c>
      <c r="C64" s="167" t="s">
        <v>464</v>
      </c>
      <c r="D64" s="172">
        <f>200000*'Dev Bank Share by Country'!$K$11</f>
        <v>11580</v>
      </c>
      <c r="E64" s="173" t="s">
        <v>528</v>
      </c>
      <c r="F64" s="173" t="s">
        <v>529</v>
      </c>
      <c r="G64" s="262"/>
      <c r="H64" s="173" t="s">
        <v>239</v>
      </c>
      <c r="I64" s="180" t="s">
        <v>283</v>
      </c>
      <c r="J64" s="173" t="s">
        <v>26</v>
      </c>
      <c r="K64" s="241">
        <v>39729</v>
      </c>
      <c r="L64" s="183" t="s">
        <v>1709</v>
      </c>
      <c r="M64" s="262"/>
      <c r="N64" s="337"/>
      <c r="O64" s="461">
        <f>CompletedProjects[[#This Row],[Power Plant Size (MW) or Share]]*0.593*9057*211.9*10^(-9)</f>
        <v>0</v>
      </c>
      <c r="P64" s="337">
        <f>CompletedProjects[[#This Row],[Annual Emissions (MMTCO2)]]*40</f>
        <v>0</v>
      </c>
      <c r="Q64" s="176"/>
      <c r="R64" s="178" t="s">
        <v>530</v>
      </c>
      <c r="S64" s="167"/>
      <c r="T64" s="178"/>
      <c r="U64" s="2"/>
      <c r="V64" s="2"/>
      <c r="Y64" s="2"/>
    </row>
    <row r="65" spans="1:25" ht="43">
      <c r="A65" s="167" t="s">
        <v>11</v>
      </c>
      <c r="B65" s="171" t="s">
        <v>559</v>
      </c>
      <c r="C65" s="171" t="s">
        <v>464</v>
      </c>
      <c r="D65" s="172">
        <v>1304843.936620231</v>
      </c>
      <c r="E65" s="173" t="s">
        <v>600</v>
      </c>
      <c r="F65" s="173" t="s">
        <v>601</v>
      </c>
      <c r="G65" s="262" t="s">
        <v>800</v>
      </c>
      <c r="H65" s="173" t="s">
        <v>481</v>
      </c>
      <c r="I65" s="180" t="s">
        <v>283</v>
      </c>
      <c r="J65" s="173" t="s">
        <v>277</v>
      </c>
      <c r="K65" s="240">
        <v>40544</v>
      </c>
      <c r="L65" s="173" t="s">
        <v>909</v>
      </c>
      <c r="M65" s="267"/>
      <c r="N65" s="338">
        <f>600/12</f>
        <v>50</v>
      </c>
      <c r="O65" s="461">
        <f>CompletedProjects[[#This Row],[Power Plant Size (MW) or Share]]*0.593*9057*211.9*10^(-9)</f>
        <v>5.6903636595000001E-2</v>
      </c>
      <c r="P65" s="337">
        <f>CompletedProjects[[#This Row],[Annual Emissions (MMTCO2)]]*40</f>
        <v>2.2761454637999998</v>
      </c>
      <c r="Q65" s="169"/>
      <c r="R65" s="185"/>
      <c r="S65" s="181"/>
      <c r="T65" s="185"/>
      <c r="U65" s="2"/>
      <c r="V65" s="2"/>
      <c r="Y65" s="2"/>
    </row>
    <row r="66" spans="1:25" ht="43">
      <c r="A66" s="167" t="s">
        <v>11</v>
      </c>
      <c r="B66" s="173" t="s">
        <v>958</v>
      </c>
      <c r="C66" s="171" t="s">
        <v>336</v>
      </c>
      <c r="D66" s="172">
        <v>22000000</v>
      </c>
      <c r="E66" s="173" t="s">
        <v>967</v>
      </c>
      <c r="F66" s="173" t="s">
        <v>967</v>
      </c>
      <c r="G66" s="269"/>
      <c r="H66" s="173" t="s">
        <v>960</v>
      </c>
      <c r="I66" s="173" t="s">
        <v>40</v>
      </c>
      <c r="J66" s="173" t="s">
        <v>966</v>
      </c>
      <c r="K66" s="246">
        <v>40909</v>
      </c>
      <c r="L66" s="173" t="s">
        <v>968</v>
      </c>
      <c r="M66" s="262" t="s">
        <v>12</v>
      </c>
      <c r="N66" s="337"/>
      <c r="O66" s="461">
        <f>CompletedProjects[[#This Row],[Power Plant Size (MW) or Share]]*0.593*9057*211.9*10^(-9)</f>
        <v>0</v>
      </c>
      <c r="P66" s="337">
        <f>CompletedProjects[[#This Row],[Annual Emissions (MMTCO2)]]*40</f>
        <v>0</v>
      </c>
      <c r="Q66" s="168"/>
      <c r="R66" s="173"/>
      <c r="S66" s="173"/>
      <c r="T66" s="173"/>
      <c r="U66" s="2"/>
      <c r="V66" s="2"/>
      <c r="Y66" s="2"/>
    </row>
    <row r="67" spans="1:25" ht="57.35">
      <c r="A67" s="167" t="s">
        <v>11</v>
      </c>
      <c r="B67" s="171" t="s">
        <v>445</v>
      </c>
      <c r="C67" s="171" t="s">
        <v>464</v>
      </c>
      <c r="D67" s="172">
        <f>450000000*'Dev Bank Share by Country'!$G$11</f>
        <v>8299473.1884936169</v>
      </c>
      <c r="E67" s="183" t="s">
        <v>1395</v>
      </c>
      <c r="F67" s="183" t="s">
        <v>1393</v>
      </c>
      <c r="G67" s="262" t="s">
        <v>1394</v>
      </c>
      <c r="H67" s="183" t="s">
        <v>65</v>
      </c>
      <c r="I67" s="180" t="s">
        <v>283</v>
      </c>
      <c r="J67" s="183" t="s">
        <v>26</v>
      </c>
      <c r="K67" s="242">
        <v>39562</v>
      </c>
      <c r="L67" s="183" t="s">
        <v>1396</v>
      </c>
      <c r="M67" s="262" t="s">
        <v>768</v>
      </c>
      <c r="N67" s="337">
        <f>4000/3/20</f>
        <v>66.666666666666657</v>
      </c>
      <c r="O67" s="461">
        <f>CompletedProjects[[#This Row],[Power Plant Size (MW) or Share]]*0.593*9057*211.9*10^(-9)</f>
        <v>7.5871515459999983E-2</v>
      </c>
      <c r="P67" s="337">
        <f>CompletedProjects[[#This Row],[Annual Emissions (MMTCO2)]]*40</f>
        <v>3.0348606183999993</v>
      </c>
      <c r="Q67" s="176"/>
      <c r="R67" s="178"/>
      <c r="S67" s="167"/>
      <c r="T67" s="178"/>
      <c r="U67" s="2"/>
      <c r="V67" s="2"/>
      <c r="Y67" s="2"/>
    </row>
    <row r="68" spans="1:25" ht="43">
      <c r="A68" s="167" t="s">
        <v>11</v>
      </c>
      <c r="B68" s="173" t="s">
        <v>958</v>
      </c>
      <c r="C68" s="171" t="s">
        <v>336</v>
      </c>
      <c r="D68" s="172">
        <v>36020445</v>
      </c>
      <c r="E68" s="173" t="s">
        <v>959</v>
      </c>
      <c r="F68" s="173" t="s">
        <v>959</v>
      </c>
      <c r="G68" s="269"/>
      <c r="H68" s="173" t="s">
        <v>960</v>
      </c>
      <c r="I68" s="173" t="s">
        <v>284</v>
      </c>
      <c r="J68" s="173" t="s">
        <v>1498</v>
      </c>
      <c r="K68" s="246">
        <v>41275</v>
      </c>
      <c r="L68" s="173" t="s">
        <v>972</v>
      </c>
      <c r="M68" s="262" t="s">
        <v>12</v>
      </c>
      <c r="N68" s="337"/>
      <c r="O68" s="461">
        <f>CompletedProjects[[#This Row],[Power Plant Size (MW) or Share]]*0.593*9057*211.9*10^(-9)</f>
        <v>0</v>
      </c>
      <c r="P68" s="337">
        <f>CompletedProjects[[#This Row],[Annual Emissions (MMTCO2)]]*40</f>
        <v>0</v>
      </c>
      <c r="Q68" s="168"/>
      <c r="R68" s="173"/>
      <c r="S68" s="173"/>
      <c r="T68" s="173"/>
      <c r="U68" s="2"/>
      <c r="V68" s="2"/>
      <c r="Y68" s="2"/>
    </row>
    <row r="69" spans="1:25" ht="43">
      <c r="A69" s="167" t="s">
        <v>11</v>
      </c>
      <c r="B69" s="173" t="s">
        <v>958</v>
      </c>
      <c r="C69" s="171" t="s">
        <v>336</v>
      </c>
      <c r="D69" s="172">
        <v>35261650</v>
      </c>
      <c r="E69" s="173" t="s">
        <v>967</v>
      </c>
      <c r="F69" s="173" t="s">
        <v>967</v>
      </c>
      <c r="G69" s="269"/>
      <c r="H69" s="173" t="s">
        <v>960</v>
      </c>
      <c r="I69" s="173" t="s">
        <v>284</v>
      </c>
      <c r="J69" s="173" t="s">
        <v>1498</v>
      </c>
      <c r="K69" s="246">
        <v>41275</v>
      </c>
      <c r="L69" s="173" t="s">
        <v>971</v>
      </c>
      <c r="M69" s="262" t="s">
        <v>12</v>
      </c>
      <c r="N69" s="337"/>
      <c r="O69" s="461">
        <f>CompletedProjects[[#This Row],[Power Plant Size (MW) or Share]]*0.593*9057*211.9*10^(-9)</f>
        <v>0</v>
      </c>
      <c r="P69" s="337">
        <f>CompletedProjects[[#This Row],[Annual Emissions (MMTCO2)]]*40</f>
        <v>0</v>
      </c>
      <c r="Q69" s="168"/>
      <c r="R69" s="173"/>
      <c r="S69" s="173"/>
      <c r="T69" s="173"/>
      <c r="U69" s="2"/>
      <c r="V69" s="2"/>
      <c r="Y69" s="2"/>
    </row>
    <row r="70" spans="1:25" ht="172">
      <c r="A70" s="167" t="s">
        <v>11</v>
      </c>
      <c r="B70" s="167" t="s">
        <v>401</v>
      </c>
      <c r="C70" s="182" t="s">
        <v>464</v>
      </c>
      <c r="D70" s="172">
        <f>4200000*'Dev Bank Share by Country'!$E$11</f>
        <v>52367.586151022078</v>
      </c>
      <c r="E70" s="173" t="s">
        <v>448</v>
      </c>
      <c r="F70" s="173" t="s">
        <v>449</v>
      </c>
      <c r="G70" s="262" t="s">
        <v>792</v>
      </c>
      <c r="H70" s="173" t="s">
        <v>450</v>
      </c>
      <c r="I70" s="173" t="s">
        <v>40</v>
      </c>
      <c r="J70" s="173" t="s">
        <v>1502</v>
      </c>
      <c r="K70" s="241">
        <v>41404</v>
      </c>
      <c r="L70" s="173" t="s">
        <v>925</v>
      </c>
      <c r="M70" s="262"/>
      <c r="N70" s="256"/>
      <c r="O70" s="461">
        <f>CompletedProjects[[#This Row],[Power Plant Size (MW) or Share]]*0.593*9057*211.9*10^(-9)</f>
        <v>0</v>
      </c>
      <c r="P70" s="337">
        <f>CompletedProjects[[#This Row],[Annual Emissions (MMTCO2)]]*40</f>
        <v>0</v>
      </c>
      <c r="Q70" s="167"/>
      <c r="R70" s="167" t="s">
        <v>400</v>
      </c>
      <c r="S70" s="167" t="s">
        <v>465</v>
      </c>
      <c r="T70" s="167"/>
      <c r="U70" s="2"/>
      <c r="V70" s="2"/>
      <c r="Y70" s="2"/>
    </row>
    <row r="71" spans="1:25" s="82" customFormat="1" ht="57.35">
      <c r="A71" s="167" t="s">
        <v>11</v>
      </c>
      <c r="B71" s="182" t="s">
        <v>511</v>
      </c>
      <c r="C71" s="182" t="s">
        <v>464</v>
      </c>
      <c r="D71" s="172">
        <f>18000000*'Dev Bank Share by Country'!$G$11</f>
        <v>331978.92753974471</v>
      </c>
      <c r="E71" s="173" t="s">
        <v>407</v>
      </c>
      <c r="F71" s="173" t="s">
        <v>407</v>
      </c>
      <c r="G71" s="262" t="s">
        <v>776</v>
      </c>
      <c r="H71" s="173" t="s">
        <v>408</v>
      </c>
      <c r="I71" s="180" t="s">
        <v>283</v>
      </c>
      <c r="J71" s="173" t="s">
        <v>409</v>
      </c>
      <c r="K71" s="241">
        <v>39254</v>
      </c>
      <c r="L71" s="173" t="s">
        <v>816</v>
      </c>
      <c r="M71" s="262"/>
      <c r="N71" s="256">
        <f>60/19</f>
        <v>3.1578947368421053</v>
      </c>
      <c r="O71" s="461">
        <f>CompletedProjects[[#This Row],[Power Plant Size (MW) or Share]]*0.593*9057*211.9*10^(-9)</f>
        <v>3.5939138902105262E-3</v>
      </c>
      <c r="P71" s="337">
        <f>CompletedProjects[[#This Row],[Annual Emissions (MMTCO2)]]*40</f>
        <v>0.14375655560842104</v>
      </c>
      <c r="Q71" s="167"/>
      <c r="R71" s="167" t="s">
        <v>636</v>
      </c>
      <c r="S71" s="167" t="s">
        <v>633</v>
      </c>
      <c r="T71" s="167"/>
    </row>
    <row r="72" spans="1:25" ht="43">
      <c r="A72" s="167" t="s">
        <v>11</v>
      </c>
      <c r="B72" s="173" t="s">
        <v>1296</v>
      </c>
      <c r="C72" s="171" t="s">
        <v>336</v>
      </c>
      <c r="D72" s="172">
        <v>21220000</v>
      </c>
      <c r="E72" s="183" t="s">
        <v>1299</v>
      </c>
      <c r="F72" s="183" t="s">
        <v>35</v>
      </c>
      <c r="G72" s="262"/>
      <c r="H72" s="183" t="s">
        <v>1297</v>
      </c>
      <c r="I72" s="173" t="s">
        <v>40</v>
      </c>
      <c r="J72" s="183" t="s">
        <v>1298</v>
      </c>
      <c r="K72" s="242">
        <v>41640</v>
      </c>
      <c r="L72" s="183" t="s">
        <v>1300</v>
      </c>
      <c r="M72" s="262" t="s">
        <v>1301</v>
      </c>
      <c r="N72" s="337"/>
      <c r="O72" s="461">
        <f>CompletedProjects[[#This Row],[Power Plant Size (MW) or Share]]*0.593*9057*211.9*10^(-9)</f>
        <v>0</v>
      </c>
      <c r="P72" s="337">
        <f>CompletedProjects[[#This Row],[Annual Emissions (MMTCO2)]]*40</f>
        <v>0</v>
      </c>
      <c r="Q72" s="176"/>
      <c r="R72" s="178"/>
      <c r="S72" s="167"/>
      <c r="T72" s="178"/>
      <c r="U72" s="2"/>
      <c r="V72" s="2"/>
      <c r="Y72" s="2"/>
    </row>
    <row r="73" spans="1:25" ht="86">
      <c r="A73" s="167" t="s">
        <v>11</v>
      </c>
      <c r="B73" s="167" t="s">
        <v>401</v>
      </c>
      <c r="C73" s="182" t="s">
        <v>464</v>
      </c>
      <c r="D73" s="172">
        <f>7500000*'Dev Bank Share by Country'!$E$11</f>
        <v>93513.546698253704</v>
      </c>
      <c r="E73" s="173" t="s">
        <v>456</v>
      </c>
      <c r="F73" s="173" t="s">
        <v>457</v>
      </c>
      <c r="G73" s="262" t="s">
        <v>794</v>
      </c>
      <c r="H73" s="173" t="s">
        <v>458</v>
      </c>
      <c r="I73" s="180" t="s">
        <v>283</v>
      </c>
      <c r="J73" s="173" t="s">
        <v>26</v>
      </c>
      <c r="K73" s="241">
        <v>41627</v>
      </c>
      <c r="L73" s="173" t="s">
        <v>899</v>
      </c>
      <c r="M73" s="262"/>
      <c r="N73" s="256">
        <f>125/19</f>
        <v>6.5789473684210522</v>
      </c>
      <c r="O73" s="461">
        <f>CompletedProjects[[#This Row],[Power Plant Size (MW) or Share]]*0.593*9057*211.9*10^(-9)</f>
        <v>7.487320604605263E-3</v>
      </c>
      <c r="P73" s="337">
        <f>CompletedProjects[[#This Row],[Annual Emissions (MMTCO2)]]*40</f>
        <v>0.29949282418421053</v>
      </c>
      <c r="Q73" s="167"/>
      <c r="R73" s="167" t="s">
        <v>637</v>
      </c>
      <c r="S73" s="167" t="s">
        <v>633</v>
      </c>
      <c r="T73" s="167" t="s">
        <v>537</v>
      </c>
      <c r="U73" s="2"/>
      <c r="V73" s="2"/>
      <c r="Y73" s="2"/>
    </row>
    <row r="74" spans="1:25" ht="100.35">
      <c r="A74" s="167" t="s">
        <v>11</v>
      </c>
      <c r="B74" s="182" t="s">
        <v>511</v>
      </c>
      <c r="C74" s="182" t="s">
        <v>464</v>
      </c>
      <c r="D74" s="172">
        <f>146970000*'Dev Bank Share by Country'!$G$11</f>
        <v>2710607.9433620153</v>
      </c>
      <c r="E74" s="173" t="s">
        <v>459</v>
      </c>
      <c r="F74" s="173" t="s">
        <v>460</v>
      </c>
      <c r="G74" s="262" t="s">
        <v>784</v>
      </c>
      <c r="H74" s="173" t="s">
        <v>239</v>
      </c>
      <c r="I74" s="180" t="s">
        <v>283</v>
      </c>
      <c r="J74" s="173" t="s">
        <v>26</v>
      </c>
      <c r="K74" s="241">
        <v>41701</v>
      </c>
      <c r="L74" s="173" t="s">
        <v>900</v>
      </c>
      <c r="M74" s="262"/>
      <c r="N74" s="256"/>
      <c r="O74" s="461">
        <f>CompletedProjects[[#This Row],[Power Plant Size (MW) or Share]]*0.593*9057*211.9*10^(-9)</f>
        <v>0</v>
      </c>
      <c r="P74" s="337">
        <f>CompletedProjects[[#This Row],[Annual Emissions (MMTCO2)]]*40</f>
        <v>0</v>
      </c>
      <c r="Q74" s="167"/>
      <c r="R74" s="167" t="s">
        <v>400</v>
      </c>
      <c r="S74" s="167" t="s">
        <v>465</v>
      </c>
      <c r="T74" s="167"/>
      <c r="U74" s="2"/>
      <c r="V74" s="2"/>
      <c r="Y74" s="2"/>
    </row>
    <row r="75" spans="1:25" s="82" customFormat="1" ht="28.7">
      <c r="A75" s="173" t="s">
        <v>11</v>
      </c>
      <c r="B75" s="173" t="s">
        <v>519</v>
      </c>
      <c r="C75" s="173" t="s">
        <v>464</v>
      </c>
      <c r="D75" s="172">
        <f>120000000*'Dev Bank Share by Country'!$K$11</f>
        <v>6948000</v>
      </c>
      <c r="E75" s="173" t="s">
        <v>533</v>
      </c>
      <c r="F75" s="173" t="s">
        <v>534</v>
      </c>
      <c r="G75" s="262"/>
      <c r="H75" s="173" t="s">
        <v>95</v>
      </c>
      <c r="I75" s="180" t="s">
        <v>283</v>
      </c>
      <c r="J75" s="173" t="s">
        <v>277</v>
      </c>
      <c r="K75" s="241">
        <v>40158</v>
      </c>
      <c r="L75" s="173" t="s">
        <v>535</v>
      </c>
      <c r="M75" s="262"/>
      <c r="N75" s="337">
        <f>200/13</f>
        <v>15.384615384615385</v>
      </c>
      <c r="O75" s="461">
        <f>CompletedProjects[[#This Row],[Power Plant Size (MW) or Share]]*0.593*9057*211.9*10^(-9)</f>
        <v>1.750881126E-2</v>
      </c>
      <c r="P75" s="337">
        <f>CompletedProjects[[#This Row],[Annual Emissions (MMTCO2)]]*40</f>
        <v>0.70035245040000005</v>
      </c>
      <c r="Q75" s="176"/>
      <c r="R75" s="178"/>
      <c r="S75" s="167"/>
      <c r="T75" s="178"/>
    </row>
    <row r="76" spans="1:25" ht="43">
      <c r="A76" s="181" t="s">
        <v>11</v>
      </c>
      <c r="B76" s="182" t="s">
        <v>559</v>
      </c>
      <c r="C76" s="182" t="s">
        <v>464</v>
      </c>
      <c r="D76" s="172">
        <v>831640.76574451278</v>
      </c>
      <c r="E76" s="173" t="s">
        <v>595</v>
      </c>
      <c r="F76" s="173" t="s">
        <v>594</v>
      </c>
      <c r="G76" s="262" t="s">
        <v>796</v>
      </c>
      <c r="H76" s="173" t="s">
        <v>45</v>
      </c>
      <c r="I76" s="180" t="s">
        <v>283</v>
      </c>
      <c r="J76" s="173" t="s">
        <v>277</v>
      </c>
      <c r="K76" s="240">
        <v>40032</v>
      </c>
      <c r="L76" s="173"/>
      <c r="M76" s="262"/>
      <c r="N76" s="338">
        <f>185/12</f>
        <v>15.416666666666666</v>
      </c>
      <c r="O76" s="461">
        <f>CompletedProjects[[#This Row],[Power Plant Size (MW) or Share]]*0.593*9057*211.9*10^(-9)</f>
        <v>1.7545287950124999E-2</v>
      </c>
      <c r="P76" s="337">
        <f>CompletedProjects[[#This Row],[Annual Emissions (MMTCO2)]]*40</f>
        <v>0.70181151800499997</v>
      </c>
      <c r="Q76" s="176"/>
      <c r="R76" s="185"/>
      <c r="S76" s="181"/>
      <c r="T76" s="185"/>
      <c r="U76" s="2"/>
      <c r="V76" s="2"/>
      <c r="Y76" s="2"/>
    </row>
    <row r="77" spans="1:25" ht="157.69999999999999">
      <c r="A77" s="167" t="s">
        <v>11</v>
      </c>
      <c r="B77" s="167" t="s">
        <v>513</v>
      </c>
      <c r="C77" s="182" t="s">
        <v>464</v>
      </c>
      <c r="D77" s="172">
        <f>180000000*'Dev Bank Share by Country'!$C$11</f>
        <v>2610000</v>
      </c>
      <c r="E77" s="173" t="s">
        <v>425</v>
      </c>
      <c r="F77" s="173" t="s">
        <v>426</v>
      </c>
      <c r="G77" s="262" t="s">
        <v>770</v>
      </c>
      <c r="H77" s="173" t="s">
        <v>65</v>
      </c>
      <c r="I77" s="180" t="s">
        <v>283</v>
      </c>
      <c r="J77" s="173" t="s">
        <v>277</v>
      </c>
      <c r="K77" s="241">
        <v>39982</v>
      </c>
      <c r="L77" s="173" t="s">
        <v>921</v>
      </c>
      <c r="M77" s="273"/>
      <c r="N77" s="256">
        <f>420/19</f>
        <v>22.105263157894736</v>
      </c>
      <c r="O77" s="461">
        <f>CompletedProjects[[#This Row],[Power Plant Size (MW) or Share]]*0.593*9057*211.9*10^(-9)</f>
        <v>2.5157397231473682E-2</v>
      </c>
      <c r="P77" s="337">
        <f>CompletedProjects[[#This Row],[Annual Emissions (MMTCO2)]]*40</f>
        <v>1.0062958892589473</v>
      </c>
      <c r="Q77" s="167"/>
      <c r="R77" s="167" t="s">
        <v>638</v>
      </c>
      <c r="S77" s="167" t="s">
        <v>466</v>
      </c>
      <c r="T77" s="167"/>
      <c r="U77" s="2"/>
      <c r="V77" s="2"/>
      <c r="Y77" s="2"/>
    </row>
    <row r="78" spans="1:25" ht="100.35">
      <c r="A78" s="167" t="s">
        <v>11</v>
      </c>
      <c r="B78" s="167" t="s">
        <v>511</v>
      </c>
      <c r="C78" s="167" t="s">
        <v>464</v>
      </c>
      <c r="D78" s="172">
        <f>25000000*'Dev Bank Share by Country'!$G$11</f>
        <v>461081.84380520094</v>
      </c>
      <c r="E78" s="173" t="s">
        <v>398</v>
      </c>
      <c r="F78" s="173" t="s">
        <v>398</v>
      </c>
      <c r="G78" s="262" t="s">
        <v>787</v>
      </c>
      <c r="H78" s="173" t="s">
        <v>399</v>
      </c>
      <c r="I78" s="180" t="s">
        <v>283</v>
      </c>
      <c r="J78" s="173" t="s">
        <v>26</v>
      </c>
      <c r="K78" s="241">
        <v>39204</v>
      </c>
      <c r="L78" s="173" t="s">
        <v>915</v>
      </c>
      <c r="M78" s="262"/>
      <c r="N78" s="256">
        <f>30/20</f>
        <v>1.5</v>
      </c>
      <c r="O78" s="461">
        <f>CompletedProjects[[#This Row],[Power Plant Size (MW) or Share]]*0.593*9057*211.9*10^(-9)</f>
        <v>1.7071090978499999E-3</v>
      </c>
      <c r="P78" s="337">
        <f>CompletedProjects[[#This Row],[Annual Emissions (MMTCO2)]]*40</f>
        <v>6.8284363914000001E-2</v>
      </c>
      <c r="Q78" s="176"/>
      <c r="R78" s="167" t="s">
        <v>635</v>
      </c>
      <c r="S78" s="167" t="s">
        <v>465</v>
      </c>
      <c r="T78" s="167"/>
      <c r="U78" s="2"/>
      <c r="V78" s="2"/>
      <c r="Y78" s="2"/>
    </row>
    <row r="79" spans="1:25" ht="57.35">
      <c r="A79" s="181" t="s">
        <v>11</v>
      </c>
      <c r="B79" s="182" t="s">
        <v>559</v>
      </c>
      <c r="C79" s="182" t="s">
        <v>464</v>
      </c>
      <c r="D79" s="172">
        <v>1140064.6028788888</v>
      </c>
      <c r="E79" s="173" t="s">
        <v>592</v>
      </c>
      <c r="F79" s="173" t="s">
        <v>599</v>
      </c>
      <c r="G79" s="262" t="s">
        <v>799</v>
      </c>
      <c r="H79" s="173" t="s">
        <v>201</v>
      </c>
      <c r="I79" s="173" t="s">
        <v>40</v>
      </c>
      <c r="J79" s="173" t="s">
        <v>40</v>
      </c>
      <c r="K79" s="240">
        <v>40310</v>
      </c>
      <c r="L79" s="173" t="s">
        <v>1692</v>
      </c>
      <c r="M79" s="262" t="s">
        <v>908</v>
      </c>
      <c r="N79" s="337"/>
      <c r="O79" s="461">
        <f>CompletedProjects[[#This Row],[Power Plant Size (MW) or Share]]*0.593*9057*211.9*10^(-9)</f>
        <v>0</v>
      </c>
      <c r="P79" s="337">
        <f>CompletedProjects[[#This Row],[Annual Emissions (MMTCO2)]]*40</f>
        <v>0</v>
      </c>
      <c r="Q79" s="176">
        <v>0.3</v>
      </c>
      <c r="R79" s="178"/>
      <c r="S79" s="167"/>
      <c r="T79" s="178"/>
      <c r="U79" s="2"/>
      <c r="V79" s="2"/>
      <c r="Y79" s="2"/>
    </row>
    <row r="80" spans="1:25" ht="114.7">
      <c r="A80" s="181" t="s">
        <v>11</v>
      </c>
      <c r="B80" s="182" t="s">
        <v>559</v>
      </c>
      <c r="C80" s="182" t="s">
        <v>464</v>
      </c>
      <c r="D80" s="172">
        <v>1084335.426400688</v>
      </c>
      <c r="E80" s="173" t="s">
        <v>606</v>
      </c>
      <c r="F80" s="173" t="s">
        <v>607</v>
      </c>
      <c r="G80" s="262" t="s">
        <v>730</v>
      </c>
      <c r="H80" s="173" t="s">
        <v>56</v>
      </c>
      <c r="I80" s="173" t="s">
        <v>40</v>
      </c>
      <c r="J80" s="173" t="s">
        <v>40</v>
      </c>
      <c r="K80" s="240">
        <v>40750</v>
      </c>
      <c r="L80" s="173" t="s">
        <v>1696</v>
      </c>
      <c r="M80" s="262" t="s">
        <v>912</v>
      </c>
      <c r="N80" s="337"/>
      <c r="O80" s="461">
        <f>CompletedProjects[[#This Row],[Power Plant Size (MW) or Share]]*0.593*9057*211.9*10^(-9)</f>
        <v>0</v>
      </c>
      <c r="P80" s="337">
        <f>CompletedProjects[[#This Row],[Annual Emissions (MMTCO2)]]*40</f>
        <v>0</v>
      </c>
      <c r="Q80" s="176"/>
      <c r="R80" s="178"/>
      <c r="S80" s="167"/>
      <c r="T80" s="178"/>
      <c r="U80" s="2"/>
      <c r="V80" s="2"/>
      <c r="Y80" s="2"/>
    </row>
    <row r="81" spans="1:25" ht="229.35">
      <c r="A81" s="167" t="s">
        <v>11</v>
      </c>
      <c r="B81" s="167" t="s">
        <v>513</v>
      </c>
      <c r="C81" s="167" t="s">
        <v>464</v>
      </c>
      <c r="D81" s="172">
        <f>1000000000*'Dev Bank Share by Country'!$C$11</f>
        <v>14500000</v>
      </c>
      <c r="E81" s="173" t="s">
        <v>425</v>
      </c>
      <c r="F81" s="173" t="s">
        <v>427</v>
      </c>
      <c r="G81" s="264" t="s">
        <v>778</v>
      </c>
      <c r="H81" s="173" t="s">
        <v>65</v>
      </c>
      <c r="I81" s="173" t="s">
        <v>1507</v>
      </c>
      <c r="J81" s="173" t="s">
        <v>428</v>
      </c>
      <c r="K81" s="241">
        <v>40078</v>
      </c>
      <c r="L81" s="173" t="s">
        <v>824</v>
      </c>
      <c r="M81" s="262"/>
      <c r="N81" s="256"/>
      <c r="O81" s="461">
        <f>CompletedProjects[[#This Row],[Power Plant Size (MW) or Share]]*0.593*9057*211.9*10^(-9)</f>
        <v>0</v>
      </c>
      <c r="P81" s="337">
        <f>CompletedProjects[[#This Row],[Annual Emissions (MMTCO2)]]*40</f>
        <v>0</v>
      </c>
      <c r="Q81" s="167"/>
      <c r="R81" s="167" t="s">
        <v>400</v>
      </c>
      <c r="S81" s="167" t="s">
        <v>465</v>
      </c>
      <c r="T81" s="167"/>
      <c r="U81" s="2"/>
      <c r="V81" s="2"/>
      <c r="Y81" s="2"/>
    </row>
    <row r="82" spans="1:25" ht="100.35">
      <c r="A82" s="167" t="s">
        <v>11</v>
      </c>
      <c r="B82" s="182" t="s">
        <v>511</v>
      </c>
      <c r="C82" s="182" t="s">
        <v>464</v>
      </c>
      <c r="D82" s="172">
        <f>46500000*'Dev Bank Share by Country'!$G$11</f>
        <v>857612.22947767377</v>
      </c>
      <c r="E82" s="173" t="s">
        <v>423</v>
      </c>
      <c r="F82" s="173" t="s">
        <v>424</v>
      </c>
      <c r="G82" s="262" t="s">
        <v>774</v>
      </c>
      <c r="H82" s="173" t="s">
        <v>65</v>
      </c>
      <c r="I82" s="173" t="s">
        <v>284</v>
      </c>
      <c r="J82" s="173" t="s">
        <v>79</v>
      </c>
      <c r="K82" s="241">
        <v>39898</v>
      </c>
      <c r="L82" s="173" t="s">
        <v>920</v>
      </c>
      <c r="M82" s="273"/>
      <c r="N82" s="256"/>
      <c r="O82" s="461">
        <f>CompletedProjects[[#This Row],[Power Plant Size (MW) or Share]]*0.593*9057*211.9*10^(-9)</f>
        <v>0</v>
      </c>
      <c r="P82" s="337">
        <f>CompletedProjects[[#This Row],[Annual Emissions (MMTCO2)]]*40</f>
        <v>0</v>
      </c>
      <c r="Q82" s="167"/>
      <c r="R82" s="167" t="s">
        <v>400</v>
      </c>
      <c r="S82" s="167" t="s">
        <v>465</v>
      </c>
      <c r="T82" s="167"/>
      <c r="U82" s="2"/>
      <c r="V82" s="2"/>
      <c r="Y82" s="2"/>
    </row>
    <row r="83" spans="1:25" ht="272.35000000000002">
      <c r="A83" s="167" t="s">
        <v>11</v>
      </c>
      <c r="B83" s="167" t="s">
        <v>513</v>
      </c>
      <c r="C83" s="171" t="s">
        <v>464</v>
      </c>
      <c r="D83" s="172">
        <f>29600000*'Dev Bank Share by Country'!$C$11</f>
        <v>429200</v>
      </c>
      <c r="E83" s="173" t="s">
        <v>266</v>
      </c>
      <c r="F83" s="173" t="s">
        <v>444</v>
      </c>
      <c r="G83" s="262" t="s">
        <v>781</v>
      </c>
      <c r="H83" s="173" t="s">
        <v>85</v>
      </c>
      <c r="I83" s="173" t="s">
        <v>284</v>
      </c>
      <c r="J83" s="173" t="s">
        <v>1498</v>
      </c>
      <c r="K83" s="241">
        <v>41163</v>
      </c>
      <c r="L83" s="173" t="s">
        <v>825</v>
      </c>
      <c r="M83" s="262"/>
      <c r="N83" s="256"/>
      <c r="O83" s="461">
        <f>CompletedProjects[[#This Row],[Power Plant Size (MW) or Share]]*0.593*9057*211.9*10^(-9)</f>
        <v>0</v>
      </c>
      <c r="P83" s="337">
        <f>CompletedProjects[[#This Row],[Annual Emissions (MMTCO2)]]*40</f>
        <v>0</v>
      </c>
      <c r="Q83" s="167"/>
      <c r="R83" s="167" t="s">
        <v>400</v>
      </c>
      <c r="S83" s="167" t="s">
        <v>465</v>
      </c>
      <c r="T83" s="167"/>
      <c r="U83" s="2"/>
      <c r="V83" s="2"/>
      <c r="Y83" s="2"/>
    </row>
    <row r="84" spans="1:25" ht="43">
      <c r="A84" s="167" t="s">
        <v>11</v>
      </c>
      <c r="B84" s="182" t="s">
        <v>559</v>
      </c>
      <c r="C84" s="182" t="s">
        <v>464</v>
      </c>
      <c r="D84" s="172">
        <v>159480.45355035088</v>
      </c>
      <c r="E84" s="173" t="s">
        <v>598</v>
      </c>
      <c r="F84" s="173" t="s">
        <v>598</v>
      </c>
      <c r="G84" s="262" t="s">
        <v>798</v>
      </c>
      <c r="H84" s="173" t="s">
        <v>201</v>
      </c>
      <c r="I84" s="173" t="s">
        <v>40</v>
      </c>
      <c r="J84" s="173" t="s">
        <v>40</v>
      </c>
      <c r="K84" s="240">
        <v>40199</v>
      </c>
      <c r="L84" s="269" t="s">
        <v>1691</v>
      </c>
      <c r="M84" s="262"/>
      <c r="N84" s="337"/>
      <c r="O84" s="461">
        <f>CompletedProjects[[#This Row],[Power Plant Size (MW) or Share]]*0.593*9057*211.9*10^(-9)</f>
        <v>0</v>
      </c>
      <c r="P84" s="337">
        <f>CompletedProjects[[#This Row],[Annual Emissions (MMTCO2)]]*40</f>
        <v>0</v>
      </c>
      <c r="Q84" s="176"/>
      <c r="R84" s="178"/>
      <c r="S84" s="167"/>
      <c r="T84" s="178"/>
      <c r="U84" s="2"/>
      <c r="V84" s="2"/>
      <c r="Y84" s="2"/>
    </row>
    <row r="85" spans="1:25" ht="157.69999999999999">
      <c r="A85" s="167" t="s">
        <v>11</v>
      </c>
      <c r="B85" s="167" t="s">
        <v>401</v>
      </c>
      <c r="C85" s="182" t="s">
        <v>464</v>
      </c>
      <c r="D85" s="172">
        <f>2000000*'Dev Bank Share by Country'!$E$11</f>
        <v>24936.945786200988</v>
      </c>
      <c r="E85" s="173" t="s">
        <v>410</v>
      </c>
      <c r="F85" s="173" t="s">
        <v>411</v>
      </c>
      <c r="G85" s="262" t="s">
        <v>777</v>
      </c>
      <c r="H85" s="173" t="s">
        <v>412</v>
      </c>
      <c r="I85" s="173" t="s">
        <v>284</v>
      </c>
      <c r="J85" s="173" t="s">
        <v>1498</v>
      </c>
      <c r="K85" s="241">
        <v>39261</v>
      </c>
      <c r="L85" s="173" t="s">
        <v>916</v>
      </c>
      <c r="M85" s="262"/>
      <c r="N85" s="256"/>
      <c r="O85" s="461">
        <f>CompletedProjects[[#This Row],[Power Plant Size (MW) or Share]]*0.593*9057*211.9*10^(-9)</f>
        <v>0</v>
      </c>
      <c r="P85" s="337">
        <f>CompletedProjects[[#This Row],[Annual Emissions (MMTCO2)]]*40</f>
        <v>0</v>
      </c>
      <c r="Q85" s="167"/>
      <c r="R85" s="167" t="s">
        <v>400</v>
      </c>
      <c r="S85" s="167" t="s">
        <v>633</v>
      </c>
      <c r="T85" s="167"/>
      <c r="U85" s="2"/>
      <c r="V85" s="2"/>
      <c r="Y85" s="2"/>
    </row>
    <row r="86" spans="1:25" ht="43">
      <c r="A86" s="173" t="s">
        <v>11</v>
      </c>
      <c r="B86" s="173" t="s">
        <v>519</v>
      </c>
      <c r="C86" s="173" t="s">
        <v>464</v>
      </c>
      <c r="D86" s="172">
        <f>135000000*'Dev Bank Share by Country'!$K$11</f>
        <v>7816500</v>
      </c>
      <c r="E86" s="173" t="s">
        <v>531</v>
      </c>
      <c r="F86" s="173" t="s">
        <v>538</v>
      </c>
      <c r="G86" s="262"/>
      <c r="H86" s="173" t="s">
        <v>239</v>
      </c>
      <c r="I86" s="180" t="s">
        <v>283</v>
      </c>
      <c r="J86" s="173" t="s">
        <v>26</v>
      </c>
      <c r="K86" s="241">
        <v>40217</v>
      </c>
      <c r="L86" s="173" t="s">
        <v>539</v>
      </c>
      <c r="M86" s="262"/>
      <c r="N86" s="337">
        <f>250/13</f>
        <v>19.23076923076923</v>
      </c>
      <c r="O86" s="461">
        <f>CompletedProjects[[#This Row],[Power Plant Size (MW) or Share]]*0.593*9057*211.9*10^(-9)</f>
        <v>2.1886014075000002E-2</v>
      </c>
      <c r="P86" s="337">
        <f>CompletedProjects[[#This Row],[Annual Emissions (MMTCO2)]]*40</f>
        <v>0.87544056300000006</v>
      </c>
      <c r="Q86" s="176"/>
      <c r="R86" s="178" t="s">
        <v>540</v>
      </c>
      <c r="S86" s="167"/>
      <c r="T86" s="178"/>
      <c r="U86" s="2"/>
      <c r="V86" s="2"/>
      <c r="Y86" s="2"/>
    </row>
    <row r="87" spans="1:25" ht="114.7">
      <c r="A87" s="167" t="s">
        <v>11</v>
      </c>
      <c r="B87" s="167" t="s">
        <v>513</v>
      </c>
      <c r="C87" s="182" t="s">
        <v>464</v>
      </c>
      <c r="D87" s="172">
        <f>3040000000*'Dev Bank Share by Country'!$C$11</f>
        <v>44080000</v>
      </c>
      <c r="E87" s="173" t="s">
        <v>41</v>
      </c>
      <c r="F87" s="173" t="s">
        <v>432</v>
      </c>
      <c r="G87" s="262" t="s">
        <v>773</v>
      </c>
      <c r="H87" s="173" t="s">
        <v>25</v>
      </c>
      <c r="I87" s="180" t="s">
        <v>283</v>
      </c>
      <c r="J87" s="173" t="s">
        <v>26</v>
      </c>
      <c r="K87" s="241">
        <v>40276</v>
      </c>
      <c r="L87" s="173" t="s">
        <v>923</v>
      </c>
      <c r="M87" s="273"/>
      <c r="N87" s="337">
        <f>4800/19/2</f>
        <v>126.31578947368421</v>
      </c>
      <c r="O87" s="461">
        <f>CompletedProjects[[#This Row],[Power Plant Size (MW) or Share]]*0.593*9057*211.9*10^(-9)</f>
        <v>0.14375655560842107</v>
      </c>
      <c r="P87" s="337">
        <f>CompletedProjects[[#This Row],[Annual Emissions (MMTCO2)]]*40</f>
        <v>5.7502622243368426</v>
      </c>
      <c r="Q87" s="167"/>
      <c r="R87" s="178" t="s">
        <v>643</v>
      </c>
      <c r="S87" s="167" t="s">
        <v>465</v>
      </c>
      <c r="T87" s="178"/>
      <c r="U87" s="2"/>
      <c r="V87" s="2"/>
      <c r="Y87" s="2"/>
    </row>
    <row r="88" spans="1:25" s="82" customFormat="1" ht="43">
      <c r="A88" s="181" t="s">
        <v>11</v>
      </c>
      <c r="B88" s="182" t="s">
        <v>559</v>
      </c>
      <c r="C88" s="182" t="s">
        <v>464</v>
      </c>
      <c r="D88" s="172">
        <v>187868.19317241249</v>
      </c>
      <c r="E88" s="173" t="s">
        <v>592</v>
      </c>
      <c r="F88" s="173" t="s">
        <v>593</v>
      </c>
      <c r="G88" s="262" t="s">
        <v>795</v>
      </c>
      <c r="H88" s="173" t="s">
        <v>201</v>
      </c>
      <c r="I88" s="173" t="s">
        <v>40</v>
      </c>
      <c r="J88" s="173" t="s">
        <v>40</v>
      </c>
      <c r="K88" s="240">
        <v>39854</v>
      </c>
      <c r="L88" s="183" t="s">
        <v>1689</v>
      </c>
      <c r="M88" s="262"/>
      <c r="N88" s="337"/>
      <c r="O88" s="461">
        <f>CompletedProjects[[#This Row],[Power Plant Size (MW) or Share]]*0.593*9057*211.9*10^(-9)</f>
        <v>0</v>
      </c>
      <c r="P88" s="337">
        <f>CompletedProjects[[#This Row],[Annual Emissions (MMTCO2)]]*40</f>
        <v>0</v>
      </c>
      <c r="Q88" s="176"/>
      <c r="R88" s="173" t="s">
        <v>907</v>
      </c>
      <c r="S88" s="167"/>
      <c r="T88" s="173"/>
    </row>
    <row r="89" spans="1:25" ht="100.35">
      <c r="A89" s="167" t="s">
        <v>11</v>
      </c>
      <c r="B89" s="167" t="s">
        <v>513</v>
      </c>
      <c r="C89" s="167" t="s">
        <v>464</v>
      </c>
      <c r="D89" s="172">
        <f>379060000*'Dev Bank Share by Country'!$C$11</f>
        <v>5496370</v>
      </c>
      <c r="E89" s="173" t="s">
        <v>429</v>
      </c>
      <c r="F89" s="173" t="s">
        <v>430</v>
      </c>
      <c r="G89" s="262" t="s">
        <v>779</v>
      </c>
      <c r="H89" s="173" t="s">
        <v>431</v>
      </c>
      <c r="I89" s="180" t="s">
        <v>283</v>
      </c>
      <c r="J89" s="173" t="s">
        <v>26</v>
      </c>
      <c r="K89" s="241">
        <v>40115</v>
      </c>
      <c r="L89" s="173" t="s">
        <v>922</v>
      </c>
      <c r="M89" s="262"/>
      <c r="N89" s="337">
        <f>600/19/2</f>
        <v>15.789473684210526</v>
      </c>
      <c r="O89" s="461">
        <f>CompletedProjects[[#This Row],[Power Plant Size (MW) or Share]]*0.593*9057*211.9*10^(-9)</f>
        <v>1.7969569451052634E-2</v>
      </c>
      <c r="P89" s="337">
        <f>CompletedProjects[[#This Row],[Annual Emissions (MMTCO2)]]*40</f>
        <v>0.71878277804210533</v>
      </c>
      <c r="Q89" s="167"/>
      <c r="R89" s="178" t="s">
        <v>640</v>
      </c>
      <c r="S89" s="167" t="s">
        <v>633</v>
      </c>
      <c r="T89" s="178"/>
      <c r="U89" s="2"/>
      <c r="V89" s="2"/>
      <c r="Y89" s="2"/>
    </row>
    <row r="90" spans="1:25" ht="172">
      <c r="A90" s="167" t="s">
        <v>11</v>
      </c>
      <c r="B90" s="167" t="s">
        <v>401</v>
      </c>
      <c r="C90" s="171" t="s">
        <v>464</v>
      </c>
      <c r="D90" s="172">
        <f>21000000*'Dev Bank Share by Country'!$E$11</f>
        <v>261837.93075511037</v>
      </c>
      <c r="E90" s="173" t="s">
        <v>451</v>
      </c>
      <c r="F90" s="173" t="s">
        <v>452</v>
      </c>
      <c r="G90" s="262" t="s">
        <v>793</v>
      </c>
      <c r="H90" s="173" t="s">
        <v>453</v>
      </c>
      <c r="I90" s="173" t="s">
        <v>284</v>
      </c>
      <c r="J90" s="173" t="s">
        <v>1498</v>
      </c>
      <c r="K90" s="241">
        <v>41471</v>
      </c>
      <c r="L90" s="173" t="s">
        <v>926</v>
      </c>
      <c r="M90" s="262" t="s">
        <v>898</v>
      </c>
      <c r="N90" s="256"/>
      <c r="O90" s="461">
        <f>CompletedProjects[[#This Row],[Power Plant Size (MW) or Share]]*0.593*9057*211.9*10^(-9)</f>
        <v>0</v>
      </c>
      <c r="P90" s="337">
        <f>CompletedProjects[[#This Row],[Annual Emissions (MMTCO2)]]*40</f>
        <v>0</v>
      </c>
      <c r="Q90" s="167"/>
      <c r="R90" s="167" t="s">
        <v>400</v>
      </c>
      <c r="S90" s="167" t="s">
        <v>633</v>
      </c>
      <c r="T90" s="167" t="s">
        <v>537</v>
      </c>
      <c r="U90" s="2"/>
      <c r="V90" s="2"/>
      <c r="Y90" s="2"/>
    </row>
    <row r="91" spans="1:25" ht="172">
      <c r="A91" s="167" t="s">
        <v>11</v>
      </c>
      <c r="B91" s="167" t="s">
        <v>401</v>
      </c>
      <c r="C91" s="171" t="s">
        <v>464</v>
      </c>
      <c r="D91" s="172">
        <f>12100000*'Dev Bank Share by Country'!$E$11</f>
        <v>150868.52200651597</v>
      </c>
      <c r="E91" s="173" t="s">
        <v>451</v>
      </c>
      <c r="F91" s="173" t="s">
        <v>452</v>
      </c>
      <c r="G91" s="262" t="s">
        <v>793</v>
      </c>
      <c r="H91" s="173" t="s">
        <v>453</v>
      </c>
      <c r="I91" s="173" t="s">
        <v>284</v>
      </c>
      <c r="J91" s="173" t="s">
        <v>1498</v>
      </c>
      <c r="K91" s="241">
        <v>41471</v>
      </c>
      <c r="L91" s="173" t="s">
        <v>926</v>
      </c>
      <c r="M91" s="262" t="s">
        <v>898</v>
      </c>
      <c r="N91" s="256"/>
      <c r="O91" s="461">
        <f>CompletedProjects[[#This Row],[Power Plant Size (MW) or Share]]*0.593*9057*211.9*10^(-9)</f>
        <v>0</v>
      </c>
      <c r="P91" s="337">
        <f>CompletedProjects[[#This Row],[Annual Emissions (MMTCO2)]]*40</f>
        <v>0</v>
      </c>
      <c r="Q91" s="167"/>
      <c r="R91" s="167" t="s">
        <v>400</v>
      </c>
      <c r="S91" s="167" t="s">
        <v>633</v>
      </c>
      <c r="T91" s="167" t="s">
        <v>537</v>
      </c>
      <c r="U91" s="2"/>
      <c r="V91" s="2"/>
      <c r="Y91" s="2"/>
    </row>
    <row r="92" spans="1:25" ht="57.35">
      <c r="A92" s="167" t="s">
        <v>11</v>
      </c>
      <c r="B92" s="173" t="s">
        <v>1296</v>
      </c>
      <c r="C92" s="171" t="s">
        <v>336</v>
      </c>
      <c r="D92" s="172">
        <v>26781000</v>
      </c>
      <c r="E92" s="173" t="s">
        <v>970</v>
      </c>
      <c r="F92" s="173" t="s">
        <v>970</v>
      </c>
      <c r="G92" s="269"/>
      <c r="H92" s="173" t="s">
        <v>960</v>
      </c>
      <c r="I92" s="173" t="s">
        <v>284</v>
      </c>
      <c r="J92" s="173" t="s">
        <v>1498</v>
      </c>
      <c r="K92" s="246">
        <v>41275</v>
      </c>
      <c r="L92" s="173" t="s">
        <v>1707</v>
      </c>
      <c r="M92" s="262" t="s">
        <v>12</v>
      </c>
      <c r="N92" s="337"/>
      <c r="O92" s="461">
        <f>CompletedProjects[[#This Row],[Power Plant Size (MW) or Share]]*0.593*9057*211.9*10^(-9)</f>
        <v>0</v>
      </c>
      <c r="P92" s="337">
        <f>CompletedProjects[[#This Row],[Annual Emissions (MMTCO2)]]*40</f>
        <v>0</v>
      </c>
      <c r="Q92" s="168"/>
      <c r="R92" s="173"/>
      <c r="S92" s="173"/>
      <c r="T92" s="173"/>
      <c r="U92" s="2"/>
      <c r="V92" s="2"/>
      <c r="Y92" s="2"/>
    </row>
    <row r="93" spans="1:25" ht="215">
      <c r="A93" s="167" t="s">
        <v>11</v>
      </c>
      <c r="B93" s="182" t="s">
        <v>511</v>
      </c>
      <c r="C93" s="182" t="s">
        <v>464</v>
      </c>
      <c r="D93" s="172">
        <f>28000000*'Dev Bank Share by Country'!$G$11</f>
        <v>516411.66506182507</v>
      </c>
      <c r="E93" s="173" t="s">
        <v>446</v>
      </c>
      <c r="F93" s="173" t="s">
        <v>447</v>
      </c>
      <c r="G93" s="262" t="s">
        <v>782</v>
      </c>
      <c r="H93" s="173" t="s">
        <v>201</v>
      </c>
      <c r="I93" s="173" t="s">
        <v>284</v>
      </c>
      <c r="J93" s="173" t="s">
        <v>1498</v>
      </c>
      <c r="K93" s="241">
        <v>41333</v>
      </c>
      <c r="L93" s="173" t="s">
        <v>832</v>
      </c>
      <c r="M93" s="262"/>
      <c r="N93" s="256">
        <f>750/19</f>
        <v>39.473684210526315</v>
      </c>
      <c r="O93" s="461">
        <f>CompletedProjects[[#This Row],[Power Plant Size (MW) or Share]]*0.593*9057*211.9*10^(-9)</f>
        <v>4.4923923627631576E-2</v>
      </c>
      <c r="P93" s="337">
        <f>CompletedProjects[[#This Row],[Annual Emissions (MMTCO2)]]*40</f>
        <v>1.7969569451052632</v>
      </c>
      <c r="Q93" s="167"/>
      <c r="R93" s="167" t="s">
        <v>639</v>
      </c>
      <c r="S93" s="167"/>
      <c r="T93" s="167"/>
      <c r="U93" s="2"/>
      <c r="V93" s="2"/>
      <c r="Y93" s="2"/>
    </row>
    <row r="94" spans="1:25" ht="86">
      <c r="A94" s="167" t="s">
        <v>11</v>
      </c>
      <c r="B94" s="171" t="s">
        <v>511</v>
      </c>
      <c r="C94" s="171" t="s">
        <v>464</v>
      </c>
      <c r="D94" s="172">
        <f>45500000*'Dev Bank Share by Country'!$G$11</f>
        <v>839168.95572546578</v>
      </c>
      <c r="E94" s="173" t="s">
        <v>440</v>
      </c>
      <c r="F94" s="173" t="s">
        <v>441</v>
      </c>
      <c r="G94" s="262" t="s">
        <v>771</v>
      </c>
      <c r="H94" s="173" t="s">
        <v>442</v>
      </c>
      <c r="I94" s="173" t="s">
        <v>40</v>
      </c>
      <c r="J94" s="173" t="s">
        <v>443</v>
      </c>
      <c r="K94" s="241">
        <v>41060</v>
      </c>
      <c r="L94" s="173" t="s">
        <v>924</v>
      </c>
      <c r="M94" s="273"/>
      <c r="N94" s="256"/>
      <c r="O94" s="461">
        <f>CompletedProjects[[#This Row],[Power Plant Size (MW) or Share]]*0.593*9057*211.9*10^(-9)</f>
        <v>0</v>
      </c>
      <c r="P94" s="337">
        <f>CompletedProjects[[#This Row],[Annual Emissions (MMTCO2)]]*40</f>
        <v>0</v>
      </c>
      <c r="Q94" s="167"/>
      <c r="R94" s="167" t="s">
        <v>400</v>
      </c>
      <c r="S94" s="167" t="s">
        <v>465</v>
      </c>
      <c r="T94" s="167"/>
      <c r="U94" s="2"/>
      <c r="V94" s="2"/>
      <c r="Y94" s="2"/>
    </row>
    <row r="95" spans="1:25" ht="215">
      <c r="A95" s="167" t="s">
        <v>11</v>
      </c>
      <c r="B95" s="167" t="s">
        <v>401</v>
      </c>
      <c r="C95" s="182" t="s">
        <v>464</v>
      </c>
      <c r="D95" s="172">
        <f>200000000*'Dev Bank Share by Country'!$E$11</f>
        <v>2493694.578620099</v>
      </c>
      <c r="E95" s="173" t="s">
        <v>461</v>
      </c>
      <c r="F95" s="173" t="s">
        <v>462</v>
      </c>
      <c r="G95" s="262" t="s">
        <v>795</v>
      </c>
      <c r="H95" s="173" t="s">
        <v>442</v>
      </c>
      <c r="I95" s="173" t="s">
        <v>284</v>
      </c>
      <c r="J95" s="173" t="s">
        <v>1498</v>
      </c>
      <c r="K95" s="241">
        <v>41760</v>
      </c>
      <c r="L95" s="173" t="s">
        <v>831</v>
      </c>
      <c r="M95" s="262" t="s">
        <v>830</v>
      </c>
      <c r="N95" s="256"/>
      <c r="O95" s="461">
        <f>CompletedProjects[[#This Row],[Power Plant Size (MW) or Share]]*0.593*9057*211.9*10^(-9)</f>
        <v>0</v>
      </c>
      <c r="P95" s="337">
        <f>CompletedProjects[[#This Row],[Annual Emissions (MMTCO2)]]*40</f>
        <v>0</v>
      </c>
      <c r="Q95" s="167"/>
      <c r="R95" s="167" t="s">
        <v>400</v>
      </c>
      <c r="S95" s="167" t="s">
        <v>465</v>
      </c>
      <c r="T95" s="167"/>
      <c r="U95" s="2"/>
      <c r="V95" s="2"/>
      <c r="Y95" s="2"/>
    </row>
    <row r="96" spans="1:25" ht="114.7">
      <c r="A96" s="167" t="s">
        <v>11</v>
      </c>
      <c r="B96" s="167" t="s">
        <v>401</v>
      </c>
      <c r="C96" s="171" t="s">
        <v>464</v>
      </c>
      <c r="D96" s="172">
        <f>280000*'Dev Bank Share by Country'!$E$11</f>
        <v>3491.1724100681386</v>
      </c>
      <c r="E96" s="173" t="s">
        <v>437</v>
      </c>
      <c r="F96" s="173" t="s">
        <v>438</v>
      </c>
      <c r="G96" s="262" t="s">
        <v>790</v>
      </c>
      <c r="H96" s="173" t="s">
        <v>439</v>
      </c>
      <c r="I96" s="173" t="s">
        <v>284</v>
      </c>
      <c r="J96" s="173" t="s">
        <v>1498</v>
      </c>
      <c r="K96" s="241">
        <v>41039</v>
      </c>
      <c r="L96" s="173" t="s">
        <v>897</v>
      </c>
      <c r="M96" s="273" t="s">
        <v>780</v>
      </c>
      <c r="N96" s="256"/>
      <c r="O96" s="461">
        <f>CompletedProjects[[#This Row],[Power Plant Size (MW) or Share]]*0.593*9057*211.9*10^(-9)</f>
        <v>0</v>
      </c>
      <c r="P96" s="337">
        <f>CompletedProjects[[#This Row],[Annual Emissions (MMTCO2)]]*40</f>
        <v>0</v>
      </c>
      <c r="Q96" s="167"/>
      <c r="R96" s="167" t="s">
        <v>400</v>
      </c>
      <c r="S96" s="167" t="s">
        <v>465</v>
      </c>
      <c r="T96" s="167"/>
      <c r="U96" s="2"/>
      <c r="V96" s="2"/>
      <c r="Y96" s="2"/>
    </row>
    <row r="97" spans="1:25" ht="43">
      <c r="A97" s="167" t="s">
        <v>11</v>
      </c>
      <c r="B97" s="182" t="s">
        <v>559</v>
      </c>
      <c r="C97" s="182" t="s">
        <v>464</v>
      </c>
      <c r="D97" s="172">
        <v>341383.58806924644</v>
      </c>
      <c r="E97" s="173" t="s">
        <v>608</v>
      </c>
      <c r="F97" s="173" t="s">
        <v>609</v>
      </c>
      <c r="G97" s="262" t="s">
        <v>803</v>
      </c>
      <c r="H97" s="173" t="s">
        <v>368</v>
      </c>
      <c r="I97" s="180" t="s">
        <v>284</v>
      </c>
      <c r="J97" s="180" t="s">
        <v>284</v>
      </c>
      <c r="K97" s="240">
        <v>40869</v>
      </c>
      <c r="L97" s="173" t="s">
        <v>1694</v>
      </c>
      <c r="M97" s="262"/>
      <c r="N97" s="337"/>
      <c r="O97" s="461">
        <f>CompletedProjects[[#This Row],[Power Plant Size (MW) or Share]]*0.593*9057*211.9*10^(-9)</f>
        <v>0</v>
      </c>
      <c r="P97" s="337">
        <f>CompletedProjects[[#This Row],[Annual Emissions (MMTCO2)]]*40</f>
        <v>0</v>
      </c>
      <c r="Q97" s="176"/>
      <c r="R97" s="178"/>
      <c r="S97" s="167"/>
      <c r="T97" s="178"/>
      <c r="U97" s="2"/>
      <c r="V97" s="2"/>
      <c r="Y97" s="2"/>
    </row>
    <row r="98" spans="1:25" ht="57.35">
      <c r="A98" s="181" t="s">
        <v>11</v>
      </c>
      <c r="B98" s="182" t="s">
        <v>559</v>
      </c>
      <c r="C98" s="182" t="s">
        <v>464</v>
      </c>
      <c r="D98" s="172">
        <v>287267.96744197333</v>
      </c>
      <c r="E98" s="173" t="s">
        <v>596</v>
      </c>
      <c r="F98" s="173" t="s">
        <v>597</v>
      </c>
      <c r="G98" s="262" t="s">
        <v>797</v>
      </c>
      <c r="H98" s="173" t="s">
        <v>493</v>
      </c>
      <c r="I98" s="180" t="s">
        <v>283</v>
      </c>
      <c r="J98" s="173" t="s">
        <v>277</v>
      </c>
      <c r="K98" s="240">
        <v>40052</v>
      </c>
      <c r="L98" s="269" t="s">
        <v>1690</v>
      </c>
      <c r="M98" s="262" t="s">
        <v>903</v>
      </c>
      <c r="N98" s="337"/>
      <c r="O98" s="461">
        <f>CompletedProjects[[#This Row],[Power Plant Size (MW) or Share]]*0.593*9057*211.9*10^(-9)</f>
        <v>0</v>
      </c>
      <c r="P98" s="337">
        <f>CompletedProjects[[#This Row],[Annual Emissions (MMTCO2)]]*40</f>
        <v>0</v>
      </c>
      <c r="Q98" s="176"/>
      <c r="R98" s="178"/>
      <c r="S98" s="167"/>
      <c r="T98" s="178"/>
      <c r="U98" s="2"/>
      <c r="V98" s="2"/>
      <c r="Y98" s="2"/>
    </row>
    <row r="99" spans="1:25" ht="172">
      <c r="A99" s="167" t="s">
        <v>11</v>
      </c>
      <c r="B99" s="167" t="s">
        <v>513</v>
      </c>
      <c r="C99" s="167" t="s">
        <v>464</v>
      </c>
      <c r="D99" s="172">
        <f>57000000*'Dev Bank Share by Country'!$C$11</f>
        <v>826500</v>
      </c>
      <c r="E99" s="173" t="s">
        <v>415</v>
      </c>
      <c r="F99" s="173" t="s">
        <v>416</v>
      </c>
      <c r="G99" s="262" t="s">
        <v>772</v>
      </c>
      <c r="H99" s="173" t="s">
        <v>368</v>
      </c>
      <c r="I99" s="173" t="s">
        <v>40</v>
      </c>
      <c r="J99" s="173" t="s">
        <v>417</v>
      </c>
      <c r="K99" s="241">
        <v>39436</v>
      </c>
      <c r="L99" s="173" t="s">
        <v>918</v>
      </c>
      <c r="M99" s="273" t="s">
        <v>895</v>
      </c>
      <c r="N99" s="256"/>
      <c r="O99" s="461">
        <f>CompletedProjects[[#This Row],[Power Plant Size (MW) or Share]]*0.593*9057*211.9*10^(-9)</f>
        <v>0</v>
      </c>
      <c r="P99" s="337">
        <f>CompletedProjects[[#This Row],[Annual Emissions (MMTCO2)]]*40</f>
        <v>0</v>
      </c>
      <c r="Q99" s="167"/>
      <c r="R99" s="167" t="s">
        <v>400</v>
      </c>
      <c r="S99" s="167" t="s">
        <v>633</v>
      </c>
      <c r="T99" s="167"/>
      <c r="U99" s="2"/>
      <c r="V99" s="2"/>
      <c r="Y99" s="2"/>
    </row>
    <row r="100" spans="1:25" ht="43">
      <c r="A100" s="167" t="s">
        <v>11</v>
      </c>
      <c r="B100" s="173" t="s">
        <v>958</v>
      </c>
      <c r="C100" s="171" t="s">
        <v>336</v>
      </c>
      <c r="D100" s="172">
        <v>97741920</v>
      </c>
      <c r="E100" s="173" t="s">
        <v>14</v>
      </c>
      <c r="F100" s="173" t="s">
        <v>14</v>
      </c>
      <c r="G100" s="269"/>
      <c r="H100" s="173" t="s">
        <v>969</v>
      </c>
      <c r="I100" s="173" t="s">
        <v>284</v>
      </c>
      <c r="J100" s="173" t="s">
        <v>79</v>
      </c>
      <c r="K100" s="246">
        <v>40909</v>
      </c>
      <c r="L100" s="173" t="s">
        <v>1705</v>
      </c>
      <c r="M100" s="262" t="s">
        <v>12</v>
      </c>
      <c r="N100" s="337"/>
      <c r="O100" s="461">
        <f>CompletedProjects[[#This Row],[Power Plant Size (MW) or Share]]*0.593*9057*211.9*10^(-9)</f>
        <v>0</v>
      </c>
      <c r="P100" s="337">
        <f>CompletedProjects[[#This Row],[Annual Emissions (MMTCO2)]]*40</f>
        <v>0</v>
      </c>
      <c r="Q100" s="168"/>
      <c r="R100" s="173"/>
      <c r="S100" s="173"/>
      <c r="T100" s="173"/>
      <c r="U100" s="2"/>
      <c r="V100" s="2"/>
      <c r="Y100" s="2"/>
    </row>
    <row r="101" spans="1:25" ht="28.7">
      <c r="A101" s="173" t="s">
        <v>473</v>
      </c>
      <c r="B101" s="173" t="s">
        <v>508</v>
      </c>
      <c r="C101" s="173" t="s">
        <v>464</v>
      </c>
      <c r="D101" s="172">
        <f>147000000*'Dev Bank Share by Country'!$O$26</f>
        <v>15813977.929710468</v>
      </c>
      <c r="E101" s="173" t="s">
        <v>471</v>
      </c>
      <c r="F101" s="173" t="s">
        <v>472</v>
      </c>
      <c r="G101" s="262" t="s">
        <v>930</v>
      </c>
      <c r="H101" s="173" t="s">
        <v>473</v>
      </c>
      <c r="I101" s="180" t="s">
        <v>283</v>
      </c>
      <c r="J101" s="173" t="s">
        <v>26</v>
      </c>
      <c r="K101" s="241">
        <v>39892</v>
      </c>
      <c r="L101" s="197"/>
      <c r="M101" s="262"/>
      <c r="N101" s="150">
        <f>720/12</f>
        <v>60</v>
      </c>
      <c r="O101" s="461">
        <f>CompletedProjects[[#This Row],[Power Plant Size (MW) or Share]]*0.593*9057*211.9*10^(-9)</f>
        <v>6.8284363914000015E-2</v>
      </c>
      <c r="P101" s="337">
        <f>CompletedProjects[[#This Row],[Annual Emissions (MMTCO2)]]*40</f>
        <v>2.7313745565600005</v>
      </c>
      <c r="Q101" s="203"/>
      <c r="R101" s="173"/>
      <c r="S101" s="167"/>
      <c r="T101" s="173"/>
      <c r="U101" s="2"/>
      <c r="V101" s="2"/>
      <c r="Y101" s="2"/>
    </row>
    <row r="102" spans="1:25" ht="43">
      <c r="A102" s="183" t="s">
        <v>473</v>
      </c>
      <c r="B102" s="183" t="s">
        <v>508</v>
      </c>
      <c r="C102" s="183" t="s">
        <v>464</v>
      </c>
      <c r="D102" s="172">
        <f>50000000*'Dev Bank Share by Country'!$O$26</f>
        <v>5378904.0577246491</v>
      </c>
      <c r="E102" s="173" t="s">
        <v>475</v>
      </c>
      <c r="F102" s="173" t="s">
        <v>476</v>
      </c>
      <c r="G102" s="262" t="s">
        <v>931</v>
      </c>
      <c r="H102" s="173" t="s">
        <v>473</v>
      </c>
      <c r="I102" s="180" t="s">
        <v>283</v>
      </c>
      <c r="J102" s="173" t="s">
        <v>26</v>
      </c>
      <c r="K102" s="241">
        <v>39892</v>
      </c>
      <c r="L102" s="197"/>
      <c r="M102" s="262"/>
      <c r="N102" s="462">
        <f>360/12</f>
        <v>30</v>
      </c>
      <c r="O102" s="461">
        <f>CompletedProjects[[#This Row],[Power Plant Size (MW) or Share]]*0.593*9057*211.9*10^(-9)</f>
        <v>3.4142181957000008E-2</v>
      </c>
      <c r="P102" s="337">
        <f>CompletedProjects[[#This Row],[Annual Emissions (MMTCO2)]]*40</f>
        <v>1.3656872782800002</v>
      </c>
      <c r="Q102" s="203"/>
      <c r="R102" s="173"/>
      <c r="S102" s="167"/>
      <c r="T102" s="173"/>
      <c r="U102" s="2"/>
      <c r="V102" s="2"/>
      <c r="Y102" s="2"/>
    </row>
    <row r="103" spans="1:25" ht="28.7">
      <c r="A103" s="183" t="s">
        <v>473</v>
      </c>
      <c r="B103" s="183" t="s">
        <v>509</v>
      </c>
      <c r="C103" s="183" t="s">
        <v>464</v>
      </c>
      <c r="D103" s="172">
        <v>494121.85507125285</v>
      </c>
      <c r="E103" s="173" t="s">
        <v>429</v>
      </c>
      <c r="F103" s="173" t="s">
        <v>430</v>
      </c>
      <c r="G103" s="262" t="s">
        <v>928</v>
      </c>
      <c r="H103" s="173" t="s">
        <v>431</v>
      </c>
      <c r="I103" s="180" t="s">
        <v>283</v>
      </c>
      <c r="J103" s="173" t="s">
        <v>26</v>
      </c>
      <c r="K103" s="241">
        <v>40114</v>
      </c>
      <c r="L103" s="173"/>
      <c r="M103" s="262"/>
      <c r="N103" s="337">
        <f>600/15/2</f>
        <v>20</v>
      </c>
      <c r="O103" s="461">
        <f>CompletedProjects[[#This Row],[Power Plant Size (MW) or Share]]*0.593*9057*211.9*10^(-9)</f>
        <v>2.2761454637999997E-2</v>
      </c>
      <c r="P103" s="337">
        <f>CompletedProjects[[#This Row],[Annual Emissions (MMTCO2)]]*40</f>
        <v>0.91045818551999991</v>
      </c>
      <c r="Q103" s="176"/>
      <c r="R103" s="178" t="s">
        <v>467</v>
      </c>
      <c r="S103" s="167"/>
      <c r="T103" s="178"/>
      <c r="U103" s="2"/>
      <c r="V103" s="2"/>
      <c r="Y103" s="2"/>
    </row>
    <row r="104" spans="1:25" ht="28.7">
      <c r="A104" s="167" t="s">
        <v>473</v>
      </c>
      <c r="B104" s="171" t="s">
        <v>509</v>
      </c>
      <c r="C104" s="171" t="s">
        <v>464</v>
      </c>
      <c r="D104" s="172">
        <v>9984056.2137674671</v>
      </c>
      <c r="E104" s="173" t="s">
        <v>41</v>
      </c>
      <c r="F104" s="173" t="s">
        <v>468</v>
      </c>
      <c r="G104" s="262" t="s">
        <v>927</v>
      </c>
      <c r="H104" s="173" t="s">
        <v>25</v>
      </c>
      <c r="I104" s="180" t="s">
        <v>283</v>
      </c>
      <c r="J104" s="173" t="s">
        <v>26</v>
      </c>
      <c r="K104" s="241">
        <v>40142</v>
      </c>
      <c r="L104" s="173"/>
      <c r="M104" s="262"/>
      <c r="N104" s="337">
        <f>4800/15/2</f>
        <v>160</v>
      </c>
      <c r="O104" s="461">
        <f>CompletedProjects[[#This Row],[Power Plant Size (MW) or Share]]*0.593*9057*211.9*10^(-9)</f>
        <v>0.18209163710399998</v>
      </c>
      <c r="P104" s="337">
        <f>CompletedProjects[[#This Row],[Annual Emissions (MMTCO2)]]*40</f>
        <v>7.2836654841599993</v>
      </c>
      <c r="Q104" s="176"/>
      <c r="R104" s="178" t="s">
        <v>642</v>
      </c>
      <c r="S104" s="167"/>
      <c r="T104" s="178"/>
      <c r="U104" s="2"/>
      <c r="V104" s="2"/>
      <c r="Y104" s="2"/>
    </row>
    <row r="105" spans="1:25" ht="43">
      <c r="A105" s="167" t="s">
        <v>473</v>
      </c>
      <c r="B105" s="171" t="s">
        <v>509</v>
      </c>
      <c r="C105" s="171" t="s">
        <v>464</v>
      </c>
      <c r="D105" s="172">
        <v>312909.1768092034</v>
      </c>
      <c r="E105" s="173" t="s">
        <v>469</v>
      </c>
      <c r="F105" s="173" t="s">
        <v>516</v>
      </c>
      <c r="G105" s="262" t="s">
        <v>929</v>
      </c>
      <c r="H105" s="173" t="s">
        <v>458</v>
      </c>
      <c r="I105" s="180" t="s">
        <v>283</v>
      </c>
      <c r="J105" s="173" t="s">
        <v>26</v>
      </c>
      <c r="K105" s="241">
        <v>40142</v>
      </c>
      <c r="L105" s="173"/>
      <c r="M105" s="262"/>
      <c r="N105" s="150">
        <f>125/15</f>
        <v>8.3333333333333339</v>
      </c>
      <c r="O105" s="461">
        <f>CompletedProjects[[#This Row],[Power Plant Size (MW) or Share]]*0.593*9057*211.9*10^(-9)</f>
        <v>9.4839394324999996E-3</v>
      </c>
      <c r="P105" s="337">
        <f>CompletedProjects[[#This Row],[Annual Emissions (MMTCO2)]]*40</f>
        <v>0.37935757729999997</v>
      </c>
      <c r="Q105" s="203"/>
      <c r="R105" s="167" t="s">
        <v>470</v>
      </c>
      <c r="S105" s="167"/>
      <c r="T105" s="167" t="s">
        <v>537</v>
      </c>
      <c r="U105" s="2"/>
      <c r="V105" s="2"/>
      <c r="Y105" s="2"/>
    </row>
    <row r="106" spans="1:25" ht="129">
      <c r="A106" s="167" t="s">
        <v>473</v>
      </c>
      <c r="B106" s="171" t="s">
        <v>509</v>
      </c>
      <c r="C106" s="171" t="s">
        <v>464</v>
      </c>
      <c r="D106" s="172">
        <v>753544.074194349</v>
      </c>
      <c r="E106" s="173" t="s">
        <v>556</v>
      </c>
      <c r="F106" s="173" t="s">
        <v>555</v>
      </c>
      <c r="G106" s="262"/>
      <c r="H106" s="173" t="s">
        <v>554</v>
      </c>
      <c r="I106" s="180" t="s">
        <v>283</v>
      </c>
      <c r="J106" s="173" t="s">
        <v>26</v>
      </c>
      <c r="K106" s="240">
        <v>42064</v>
      </c>
      <c r="L106" s="173" t="s">
        <v>857</v>
      </c>
      <c r="M106" s="262" t="s">
        <v>858</v>
      </c>
      <c r="N106" s="337"/>
      <c r="O106" s="461">
        <f>CompletedProjects[[#This Row],[Power Plant Size (MW) or Share]]*0.593*9057*211.9*10^(-9)</f>
        <v>0</v>
      </c>
      <c r="P106" s="337">
        <f>CompletedProjects[[#This Row],[Annual Emissions (MMTCO2)]]*40</f>
        <v>0</v>
      </c>
      <c r="Q106" s="176"/>
      <c r="R106" s="178" t="s">
        <v>537</v>
      </c>
      <c r="S106" s="167"/>
      <c r="T106" s="178"/>
      <c r="U106" s="2"/>
      <c r="V106" s="2"/>
      <c r="Y106" s="2"/>
    </row>
    <row r="107" spans="1:25" ht="215">
      <c r="A107" s="181" t="s">
        <v>473</v>
      </c>
      <c r="B107" s="182" t="s">
        <v>509</v>
      </c>
      <c r="C107" s="182" t="s">
        <v>464</v>
      </c>
      <c r="D107" s="172">
        <v>4238685.4173432132</v>
      </c>
      <c r="E107" s="173" t="s">
        <v>41</v>
      </c>
      <c r="F107" s="173" t="s">
        <v>553</v>
      </c>
      <c r="G107" s="262" t="s">
        <v>788</v>
      </c>
      <c r="H107" s="173" t="s">
        <v>25</v>
      </c>
      <c r="I107" s="173" t="s">
        <v>284</v>
      </c>
      <c r="J107" s="173" t="s">
        <v>79</v>
      </c>
      <c r="K107" s="240">
        <v>42359</v>
      </c>
      <c r="L107" s="173" t="s">
        <v>1326</v>
      </c>
      <c r="M107" s="262" t="s">
        <v>861</v>
      </c>
      <c r="N107" s="337"/>
      <c r="O107" s="461">
        <f>CompletedProjects[[#This Row],[Power Plant Size (MW) or Share]]*0.593*9057*211.9*10^(-9)</f>
        <v>0</v>
      </c>
      <c r="P107" s="337">
        <f>CompletedProjects[[#This Row],[Annual Emissions (MMTCO2)]]*40</f>
        <v>0</v>
      </c>
      <c r="Q107" s="176"/>
      <c r="R107" s="178"/>
      <c r="S107" s="167"/>
      <c r="T107" s="178"/>
      <c r="U107" s="2"/>
      <c r="V107" s="2"/>
      <c r="Y107" s="2"/>
    </row>
    <row r="108" spans="1:25" ht="172">
      <c r="A108" s="167" t="s">
        <v>1308</v>
      </c>
      <c r="B108" s="182" t="s">
        <v>511</v>
      </c>
      <c r="C108" s="182" t="s">
        <v>464</v>
      </c>
      <c r="D108" s="172">
        <f>500000000*'Dev Bank Share by Country'!$G$26</f>
        <v>10830245.425811699</v>
      </c>
      <c r="E108" s="183" t="s">
        <v>454</v>
      </c>
      <c r="F108" s="183" t="s">
        <v>454</v>
      </c>
      <c r="G108" s="262" t="s">
        <v>783</v>
      </c>
      <c r="H108" s="183" t="s">
        <v>515</v>
      </c>
      <c r="I108" s="180" t="s">
        <v>283</v>
      </c>
      <c r="J108" s="183" t="s">
        <v>26</v>
      </c>
      <c r="K108" s="242">
        <v>41760</v>
      </c>
      <c r="L108" s="183" t="s">
        <v>833</v>
      </c>
      <c r="M108" s="262"/>
      <c r="N108" s="256">
        <f>(270+450)/19</f>
        <v>37.89473684210526</v>
      </c>
      <c r="O108" s="461">
        <f>CompletedProjects[[#This Row],[Power Plant Size (MW) or Share]]*0.593*9057*211.9*10^(-9)</f>
        <v>4.3126966682526316E-2</v>
      </c>
      <c r="P108" s="337">
        <f>CompletedProjects[[#This Row],[Annual Emissions (MMTCO2)]]*40</f>
        <v>1.7250786673010525</v>
      </c>
      <c r="Q108" s="176"/>
      <c r="R108" s="178" t="s">
        <v>639</v>
      </c>
      <c r="S108" s="167" t="s">
        <v>465</v>
      </c>
      <c r="T108" s="178"/>
      <c r="U108" s="2"/>
      <c r="V108" s="2"/>
      <c r="Y108" s="2"/>
    </row>
    <row r="109" spans="1:25" ht="172">
      <c r="A109" s="167" t="s">
        <v>1308</v>
      </c>
      <c r="B109" s="167" t="s">
        <v>401</v>
      </c>
      <c r="C109" s="182" t="s">
        <v>464</v>
      </c>
      <c r="D109" s="172">
        <f>1120000*'Dev Bank Share by Country'!$E$26</f>
        <v>18421.545407550599</v>
      </c>
      <c r="E109" s="173" t="s">
        <v>402</v>
      </c>
      <c r="F109" s="173" t="s">
        <v>403</v>
      </c>
      <c r="G109" s="262" t="s">
        <v>785</v>
      </c>
      <c r="H109" s="173" t="s">
        <v>404</v>
      </c>
      <c r="I109" s="173" t="s">
        <v>284</v>
      </c>
      <c r="J109" s="173" t="s">
        <v>1498</v>
      </c>
      <c r="K109" s="241">
        <v>39224</v>
      </c>
      <c r="L109" s="173" t="s">
        <v>826</v>
      </c>
      <c r="M109" s="262" t="s">
        <v>785</v>
      </c>
      <c r="N109" s="256"/>
      <c r="O109" s="461">
        <f>CompletedProjects[[#This Row],[Power Plant Size (MW) or Share]]*0.593*9057*211.9*10^(-9)</f>
        <v>0</v>
      </c>
      <c r="P109" s="337">
        <f>CompletedProjects[[#This Row],[Annual Emissions (MMTCO2)]]*40</f>
        <v>0</v>
      </c>
      <c r="Q109" s="167"/>
      <c r="R109" s="167" t="s">
        <v>400</v>
      </c>
      <c r="S109" s="167" t="s">
        <v>633</v>
      </c>
      <c r="T109" s="167" t="s">
        <v>537</v>
      </c>
      <c r="U109" s="2"/>
      <c r="V109" s="2"/>
      <c r="Y109" s="2"/>
    </row>
    <row r="110" spans="1:25" ht="172">
      <c r="A110" s="167" t="s">
        <v>1308</v>
      </c>
      <c r="B110" s="167" t="s">
        <v>401</v>
      </c>
      <c r="C110" s="182" t="s">
        <v>464</v>
      </c>
      <c r="D110" s="172">
        <f>4200000*'Dev Bank Share by Country'!$E$26</f>
        <v>69080.795278314734</v>
      </c>
      <c r="E110" s="173" t="s">
        <v>448</v>
      </c>
      <c r="F110" s="173" t="s">
        <v>449</v>
      </c>
      <c r="G110" s="262" t="s">
        <v>792</v>
      </c>
      <c r="H110" s="173" t="s">
        <v>450</v>
      </c>
      <c r="I110" s="173" t="s">
        <v>40</v>
      </c>
      <c r="J110" s="173" t="s">
        <v>1502</v>
      </c>
      <c r="K110" s="241">
        <v>41404</v>
      </c>
      <c r="L110" s="173" t="s">
        <v>925</v>
      </c>
      <c r="M110" s="262"/>
      <c r="N110" s="256"/>
      <c r="O110" s="461">
        <f>CompletedProjects[[#This Row],[Power Plant Size (MW) or Share]]*0.593*9057*211.9*10^(-9)</f>
        <v>0</v>
      </c>
      <c r="P110" s="337">
        <f>CompletedProjects[[#This Row],[Annual Emissions (MMTCO2)]]*40</f>
        <v>0</v>
      </c>
      <c r="Q110" s="167"/>
      <c r="R110" s="167" t="s">
        <v>400</v>
      </c>
      <c r="S110" s="167" t="s">
        <v>465</v>
      </c>
      <c r="T110" s="167"/>
      <c r="U110" s="82"/>
      <c r="V110" s="82"/>
      <c r="W110" s="82"/>
      <c r="Y110" s="2"/>
    </row>
    <row r="111" spans="1:25" s="82" customFormat="1" ht="43">
      <c r="A111" s="167" t="s">
        <v>1308</v>
      </c>
      <c r="B111" s="182" t="s">
        <v>511</v>
      </c>
      <c r="C111" s="182" t="s">
        <v>464</v>
      </c>
      <c r="D111" s="172">
        <f>740000000*'Dev Bank Share by Country'!$G$26</f>
        <v>16028763.230201315</v>
      </c>
      <c r="E111" s="173" t="s">
        <v>418</v>
      </c>
      <c r="F111" s="173" t="s">
        <v>419</v>
      </c>
      <c r="G111" s="262" t="s">
        <v>765</v>
      </c>
      <c r="H111" s="173" t="s">
        <v>144</v>
      </c>
      <c r="I111" s="180" t="s">
        <v>283</v>
      </c>
      <c r="J111" s="183" t="s">
        <v>26</v>
      </c>
      <c r="K111" s="241">
        <v>39520</v>
      </c>
      <c r="L111" s="202" t="s">
        <v>817</v>
      </c>
      <c r="M111" s="262"/>
      <c r="N111" s="256">
        <f>330/19</f>
        <v>17.368421052631579</v>
      </c>
      <c r="O111" s="461">
        <f>CompletedProjects[[#This Row],[Power Plant Size (MW) or Share]]*0.593*9057*211.9*10^(-9)</f>
        <v>1.9766526396157894E-2</v>
      </c>
      <c r="P111" s="337">
        <f>CompletedProjects[[#This Row],[Annual Emissions (MMTCO2)]]*40</f>
        <v>0.79066105584631574</v>
      </c>
      <c r="Q111" s="176"/>
      <c r="R111" s="167" t="s">
        <v>400</v>
      </c>
      <c r="S111" s="167" t="s">
        <v>633</v>
      </c>
      <c r="T111" s="167"/>
    </row>
    <row r="112" spans="1:25" ht="258">
      <c r="A112" s="167" t="s">
        <v>1308</v>
      </c>
      <c r="B112" s="167" t="s">
        <v>401</v>
      </c>
      <c r="C112" s="182" t="s">
        <v>464</v>
      </c>
      <c r="D112" s="172">
        <f>11000000*'Dev Bank Share by Country'!$E$26</f>
        <v>180925.89239558621</v>
      </c>
      <c r="E112" s="173" t="s">
        <v>420</v>
      </c>
      <c r="F112" s="173" t="s">
        <v>421</v>
      </c>
      <c r="G112" s="262" t="s">
        <v>769</v>
      </c>
      <c r="H112" s="173" t="s">
        <v>422</v>
      </c>
      <c r="I112" s="180" t="s">
        <v>283</v>
      </c>
      <c r="J112" s="173" t="s">
        <v>277</v>
      </c>
      <c r="K112" s="241">
        <v>39777</v>
      </c>
      <c r="L112" s="197"/>
      <c r="M112" s="273"/>
      <c r="N112" s="256"/>
      <c r="O112" s="461">
        <f>CompletedProjects[[#This Row],[Power Plant Size (MW) or Share]]*0.593*9057*211.9*10^(-9)</f>
        <v>0</v>
      </c>
      <c r="P112" s="337">
        <f>CompletedProjects[[#This Row],[Annual Emissions (MMTCO2)]]*40</f>
        <v>0</v>
      </c>
      <c r="Q112" s="167"/>
      <c r="R112" s="173" t="s">
        <v>834</v>
      </c>
      <c r="S112" s="167" t="s">
        <v>633</v>
      </c>
      <c r="T112" s="173"/>
      <c r="U112" s="2"/>
      <c r="V112" s="2"/>
      <c r="Y112" s="2"/>
    </row>
    <row r="113" spans="1:25" ht="86">
      <c r="A113" s="167" t="s">
        <v>1308</v>
      </c>
      <c r="B113" s="182" t="s">
        <v>511</v>
      </c>
      <c r="C113" s="182" t="s">
        <v>464</v>
      </c>
      <c r="D113" s="172">
        <f>8000000*'Dev Bank Share by Country'!$G$26</f>
        <v>173283.92681298719</v>
      </c>
      <c r="E113" s="173" t="s">
        <v>405</v>
      </c>
      <c r="F113" s="173" t="s">
        <v>406</v>
      </c>
      <c r="G113" s="262" t="s">
        <v>786</v>
      </c>
      <c r="H113" s="173" t="s">
        <v>65</v>
      </c>
      <c r="I113" s="180" t="s">
        <v>283</v>
      </c>
      <c r="J113" s="173" t="s">
        <v>26</v>
      </c>
      <c r="K113" s="241">
        <v>39234</v>
      </c>
      <c r="L113" s="173" t="s">
        <v>815</v>
      </c>
      <c r="M113" s="262" t="s">
        <v>806</v>
      </c>
      <c r="N113" s="256">
        <f>600/19</f>
        <v>31.578947368421051</v>
      </c>
      <c r="O113" s="461">
        <f>CompletedProjects[[#This Row],[Power Plant Size (MW) or Share]]*0.593*9057*211.9*10^(-9)</f>
        <v>3.5939138902105268E-2</v>
      </c>
      <c r="P113" s="337">
        <f>CompletedProjects[[#This Row],[Annual Emissions (MMTCO2)]]*40</f>
        <v>1.4375655560842107</v>
      </c>
      <c r="Q113" s="167"/>
      <c r="R113" s="167" t="s">
        <v>467</v>
      </c>
      <c r="S113" s="167" t="s">
        <v>633</v>
      </c>
      <c r="T113" s="167"/>
      <c r="U113" s="2"/>
      <c r="V113" s="2"/>
      <c r="Y113" s="2"/>
    </row>
    <row r="114" spans="1:25" ht="114.7">
      <c r="A114" s="167" t="s">
        <v>1308</v>
      </c>
      <c r="B114" s="182" t="s">
        <v>511</v>
      </c>
      <c r="C114" s="182" t="s">
        <v>464</v>
      </c>
      <c r="D114" s="172">
        <f>275000000*'Dev Bank Share by Country'!$G$26</f>
        <v>5956634.9841964347</v>
      </c>
      <c r="E114" s="173" t="s">
        <v>413</v>
      </c>
      <c r="F114" s="173" t="s">
        <v>413</v>
      </c>
      <c r="G114" s="262" t="s">
        <v>766</v>
      </c>
      <c r="H114" s="173" t="s">
        <v>95</v>
      </c>
      <c r="I114" s="180" t="s">
        <v>283</v>
      </c>
      <c r="J114" s="173" t="s">
        <v>277</v>
      </c>
      <c r="K114" s="241">
        <v>39394</v>
      </c>
      <c r="L114" s="173" t="s">
        <v>917</v>
      </c>
      <c r="M114" s="262"/>
      <c r="N114" s="256">
        <f>600/7/2</f>
        <v>42.857142857142854</v>
      </c>
      <c r="O114" s="461">
        <f>CompletedProjects[[#This Row],[Power Plant Size (MW) or Share]]*0.593*9057*211.9*10^(-9)</f>
        <v>4.8774545652857132E-2</v>
      </c>
      <c r="P114" s="337">
        <f>CompletedProjects[[#This Row],[Annual Emissions (MMTCO2)]]*40</f>
        <v>1.9509818261142853</v>
      </c>
      <c r="Q114" s="167"/>
      <c r="R114" s="167" t="s">
        <v>640</v>
      </c>
      <c r="S114" s="167" t="s">
        <v>465</v>
      </c>
      <c r="T114" s="167"/>
      <c r="U114" s="2"/>
      <c r="V114" s="2"/>
      <c r="Y114" s="2"/>
    </row>
    <row r="115" spans="1:25" ht="172">
      <c r="A115" s="167" t="s">
        <v>1308</v>
      </c>
      <c r="B115" s="167" t="s">
        <v>401</v>
      </c>
      <c r="C115" s="182" t="s">
        <v>464</v>
      </c>
      <c r="D115" s="172">
        <f>11250000*'Dev Bank Share by Country'!$E$26</f>
        <v>185037.84449548592</v>
      </c>
      <c r="E115" s="173" t="s">
        <v>270</v>
      </c>
      <c r="F115" s="173" t="s">
        <v>433</v>
      </c>
      <c r="G115" s="262" t="s">
        <v>767</v>
      </c>
      <c r="H115" s="173" t="s">
        <v>201</v>
      </c>
      <c r="I115" s="173" t="s">
        <v>40</v>
      </c>
      <c r="J115" s="173" t="s">
        <v>417</v>
      </c>
      <c r="K115" s="241">
        <v>40673</v>
      </c>
      <c r="L115" s="173" t="s">
        <v>828</v>
      </c>
      <c r="M115" s="273" t="s">
        <v>827</v>
      </c>
      <c r="N115" s="256"/>
      <c r="O115" s="461">
        <f>CompletedProjects[[#This Row],[Power Plant Size (MW) or Share]]*0.593*9057*211.9*10^(-9)</f>
        <v>0</v>
      </c>
      <c r="P115" s="337">
        <f>CompletedProjects[[#This Row],[Annual Emissions (MMTCO2)]]*40</f>
        <v>0</v>
      </c>
      <c r="Q115" s="167"/>
      <c r="R115" s="167" t="s">
        <v>400</v>
      </c>
      <c r="S115" s="167" t="s">
        <v>465</v>
      </c>
      <c r="T115" s="167"/>
      <c r="U115" s="2"/>
      <c r="V115" s="2"/>
      <c r="Y115" s="2"/>
    </row>
    <row r="116" spans="1:25" s="82" customFormat="1" ht="57.35">
      <c r="A116" s="181" t="s">
        <v>1308</v>
      </c>
      <c r="B116" s="182" t="s">
        <v>445</v>
      </c>
      <c r="C116" s="182" t="s">
        <v>464</v>
      </c>
      <c r="D116" s="172">
        <f>450000000*'Dev Bank Share by Country'!$G$26</f>
        <v>9747220.8832305297</v>
      </c>
      <c r="E116" s="183" t="s">
        <v>1395</v>
      </c>
      <c r="F116" s="183" t="s">
        <v>1393</v>
      </c>
      <c r="G116" s="262" t="s">
        <v>1394</v>
      </c>
      <c r="H116" s="183" t="s">
        <v>65</v>
      </c>
      <c r="I116" s="180" t="s">
        <v>283</v>
      </c>
      <c r="J116" s="183" t="s">
        <v>26</v>
      </c>
      <c r="K116" s="242">
        <v>39562</v>
      </c>
      <c r="L116" s="183" t="s">
        <v>1396</v>
      </c>
      <c r="M116" s="262" t="s">
        <v>768</v>
      </c>
      <c r="N116" s="338">
        <f>4000/3/20</f>
        <v>66.666666666666657</v>
      </c>
      <c r="O116" s="461">
        <f>CompletedProjects[[#This Row],[Power Plant Size (MW) or Share]]*0.593*9057*211.9*10^(-9)</f>
        <v>7.5871515459999983E-2</v>
      </c>
      <c r="P116" s="337">
        <f>CompletedProjects[[#This Row],[Annual Emissions (MMTCO2)]]*40</f>
        <v>3.0348606183999993</v>
      </c>
      <c r="Q116" s="176"/>
      <c r="R116" s="185"/>
      <c r="S116" s="167"/>
      <c r="T116" s="185"/>
    </row>
    <row r="117" spans="1:25" ht="157.69999999999999">
      <c r="A117" s="167" t="s">
        <v>1308</v>
      </c>
      <c r="B117" s="167" t="s">
        <v>513</v>
      </c>
      <c r="C117" s="182" t="s">
        <v>464</v>
      </c>
      <c r="D117" s="172">
        <f>180000000*'Dev Bank Share by Country'!$C$26</f>
        <v>3618000</v>
      </c>
      <c r="E117" s="173" t="s">
        <v>425</v>
      </c>
      <c r="F117" s="173" t="s">
        <v>426</v>
      </c>
      <c r="G117" s="262" t="s">
        <v>770</v>
      </c>
      <c r="H117" s="173" t="s">
        <v>65</v>
      </c>
      <c r="I117" s="180" t="s">
        <v>283</v>
      </c>
      <c r="J117" s="173" t="s">
        <v>277</v>
      </c>
      <c r="K117" s="241">
        <v>39982</v>
      </c>
      <c r="L117" s="173" t="s">
        <v>921</v>
      </c>
      <c r="M117" s="273"/>
      <c r="N117" s="256">
        <f>420/19</f>
        <v>22.105263157894736</v>
      </c>
      <c r="O117" s="461">
        <f>CompletedProjects[[#This Row],[Power Plant Size (MW) or Share]]*0.593*9057*211.9*10^(-9)</f>
        <v>2.5157397231473682E-2</v>
      </c>
      <c r="P117" s="337">
        <f>CompletedProjects[[#This Row],[Annual Emissions (MMTCO2)]]*40</f>
        <v>1.0062958892589473</v>
      </c>
      <c r="Q117" s="167"/>
      <c r="R117" s="167" t="s">
        <v>638</v>
      </c>
      <c r="S117" s="167" t="s">
        <v>466</v>
      </c>
      <c r="T117" s="167"/>
      <c r="U117" s="2"/>
      <c r="V117" s="2"/>
      <c r="Y117" s="2"/>
    </row>
    <row r="118" spans="1:25" s="82" customFormat="1" ht="57.35">
      <c r="A118" s="167" t="s">
        <v>1308</v>
      </c>
      <c r="B118" s="182" t="s">
        <v>511</v>
      </c>
      <c r="C118" s="182" t="s">
        <v>464</v>
      </c>
      <c r="D118" s="172">
        <f>18000000*'Dev Bank Share by Country'!$G$26</f>
        <v>389888.83532922115</v>
      </c>
      <c r="E118" s="173" t="s">
        <v>407</v>
      </c>
      <c r="F118" s="173" t="s">
        <v>407</v>
      </c>
      <c r="G118" s="262" t="s">
        <v>776</v>
      </c>
      <c r="H118" s="173" t="s">
        <v>408</v>
      </c>
      <c r="I118" s="180" t="s">
        <v>283</v>
      </c>
      <c r="J118" s="173" t="s">
        <v>409</v>
      </c>
      <c r="K118" s="241">
        <v>39254</v>
      </c>
      <c r="L118" s="173" t="s">
        <v>816</v>
      </c>
      <c r="M118" s="262"/>
      <c r="N118" s="256">
        <f>60/19</f>
        <v>3.1578947368421053</v>
      </c>
      <c r="O118" s="461">
        <f>CompletedProjects[[#This Row],[Power Plant Size (MW) or Share]]*0.593*9057*211.9*10^(-9)</f>
        <v>3.5939138902105262E-3</v>
      </c>
      <c r="P118" s="337">
        <f>CompletedProjects[[#This Row],[Annual Emissions (MMTCO2)]]*40</f>
        <v>0.14375655560842104</v>
      </c>
      <c r="Q118" s="167"/>
      <c r="R118" s="167" t="s">
        <v>636</v>
      </c>
      <c r="S118" s="167" t="s">
        <v>633</v>
      </c>
      <c r="T118" s="167"/>
    </row>
    <row r="119" spans="1:25" ht="86">
      <c r="A119" s="167" t="s">
        <v>1308</v>
      </c>
      <c r="B119" s="167" t="s">
        <v>401</v>
      </c>
      <c r="C119" s="182" t="s">
        <v>464</v>
      </c>
      <c r="D119" s="172">
        <f>7500000*'Dev Bank Share by Country'!$E$26</f>
        <v>123358.56299699061</v>
      </c>
      <c r="E119" s="173" t="s">
        <v>456</v>
      </c>
      <c r="F119" s="173" t="s">
        <v>457</v>
      </c>
      <c r="G119" s="262" t="s">
        <v>794</v>
      </c>
      <c r="H119" s="173" t="s">
        <v>458</v>
      </c>
      <c r="I119" s="180" t="s">
        <v>283</v>
      </c>
      <c r="J119" s="173" t="s">
        <v>26</v>
      </c>
      <c r="K119" s="241">
        <v>41627</v>
      </c>
      <c r="L119" s="173" t="s">
        <v>899</v>
      </c>
      <c r="M119" s="262"/>
      <c r="N119" s="256">
        <f>125/19</f>
        <v>6.5789473684210522</v>
      </c>
      <c r="O119" s="461">
        <f>CompletedProjects[[#This Row],[Power Plant Size (MW) or Share]]*0.593*9057*211.9*10^(-9)</f>
        <v>7.487320604605263E-3</v>
      </c>
      <c r="P119" s="337">
        <f>CompletedProjects[[#This Row],[Annual Emissions (MMTCO2)]]*40</f>
        <v>0.29949282418421053</v>
      </c>
      <c r="Q119" s="167"/>
      <c r="R119" s="167" t="s">
        <v>637</v>
      </c>
      <c r="S119" s="167" t="s">
        <v>633</v>
      </c>
      <c r="T119" s="167" t="s">
        <v>537</v>
      </c>
      <c r="U119" s="2"/>
      <c r="V119" s="2"/>
      <c r="Y119" s="2"/>
    </row>
    <row r="120" spans="1:25" ht="100.35">
      <c r="A120" s="167" t="s">
        <v>1308</v>
      </c>
      <c r="B120" s="182" t="s">
        <v>511</v>
      </c>
      <c r="C120" s="182" t="s">
        <v>464</v>
      </c>
      <c r="D120" s="172">
        <f>146970000*'Dev Bank Share by Country'!$G$26</f>
        <v>3183442.3404630907</v>
      </c>
      <c r="E120" s="173" t="s">
        <v>459</v>
      </c>
      <c r="F120" s="173" t="s">
        <v>460</v>
      </c>
      <c r="G120" s="262" t="s">
        <v>784</v>
      </c>
      <c r="H120" s="173" t="s">
        <v>239</v>
      </c>
      <c r="I120" s="180" t="s">
        <v>283</v>
      </c>
      <c r="J120" s="173" t="s">
        <v>26</v>
      </c>
      <c r="K120" s="241">
        <v>41701</v>
      </c>
      <c r="L120" s="173" t="s">
        <v>900</v>
      </c>
      <c r="M120" s="262"/>
      <c r="N120" s="256"/>
      <c r="O120" s="461">
        <f>CompletedProjects[[#This Row],[Power Plant Size (MW) or Share]]*0.593*9057*211.9*10^(-9)</f>
        <v>0</v>
      </c>
      <c r="P120" s="337">
        <f>CompletedProjects[[#This Row],[Annual Emissions (MMTCO2)]]*40</f>
        <v>0</v>
      </c>
      <c r="Q120" s="167"/>
      <c r="R120" s="167" t="s">
        <v>400</v>
      </c>
      <c r="S120" s="167" t="s">
        <v>465</v>
      </c>
      <c r="T120" s="167"/>
      <c r="U120" s="22"/>
      <c r="V120" s="2"/>
      <c r="X120" s="30"/>
      <c r="Y120" s="2"/>
    </row>
    <row r="121" spans="1:25" ht="100.35">
      <c r="A121" s="167" t="s">
        <v>1308</v>
      </c>
      <c r="B121" s="167" t="s">
        <v>511</v>
      </c>
      <c r="C121" s="167" t="s">
        <v>464</v>
      </c>
      <c r="D121" s="172">
        <f>25000000*'Dev Bank Share by Country'!$G$26</f>
        <v>541512.27129058493</v>
      </c>
      <c r="E121" s="173" t="s">
        <v>398</v>
      </c>
      <c r="F121" s="173" t="s">
        <v>398</v>
      </c>
      <c r="G121" s="262" t="s">
        <v>787</v>
      </c>
      <c r="H121" s="173" t="s">
        <v>399</v>
      </c>
      <c r="I121" s="180" t="s">
        <v>283</v>
      </c>
      <c r="J121" s="173" t="s">
        <v>26</v>
      </c>
      <c r="K121" s="241">
        <v>39204</v>
      </c>
      <c r="L121" s="173" t="s">
        <v>915</v>
      </c>
      <c r="M121" s="262"/>
      <c r="N121" s="256">
        <f>30/20</f>
        <v>1.5</v>
      </c>
      <c r="O121" s="461">
        <f>CompletedProjects[[#This Row],[Power Plant Size (MW) or Share]]*0.593*9057*211.9*10^(-9)</f>
        <v>1.7071090978499999E-3</v>
      </c>
      <c r="P121" s="337">
        <f>CompletedProjects[[#This Row],[Annual Emissions (MMTCO2)]]*40</f>
        <v>6.8284363914000001E-2</v>
      </c>
      <c r="Q121" s="176"/>
      <c r="R121" s="167" t="s">
        <v>635</v>
      </c>
      <c r="S121" s="167" t="s">
        <v>465</v>
      </c>
      <c r="T121" s="167"/>
      <c r="U121" s="2"/>
      <c r="V121" s="2"/>
      <c r="Y121" s="2"/>
    </row>
    <row r="122" spans="1:25" ht="229.35">
      <c r="A122" s="167" t="s">
        <v>1308</v>
      </c>
      <c r="B122" s="167" t="s">
        <v>513</v>
      </c>
      <c r="C122" s="167" t="s">
        <v>464</v>
      </c>
      <c r="D122" s="172">
        <f>1000000000*'Dev Bank Share by Country'!$C$26</f>
        <v>20100000</v>
      </c>
      <c r="E122" s="173" t="s">
        <v>425</v>
      </c>
      <c r="F122" s="173" t="s">
        <v>427</v>
      </c>
      <c r="G122" s="262" t="s">
        <v>778</v>
      </c>
      <c r="H122" s="173" t="s">
        <v>65</v>
      </c>
      <c r="I122" s="173" t="s">
        <v>1507</v>
      </c>
      <c r="J122" s="173" t="s">
        <v>428</v>
      </c>
      <c r="K122" s="241">
        <v>40078</v>
      </c>
      <c r="L122" s="173" t="s">
        <v>824</v>
      </c>
      <c r="M122" s="262"/>
      <c r="N122" s="256"/>
      <c r="O122" s="461">
        <f>CompletedProjects[[#This Row],[Power Plant Size (MW) or Share]]*0.593*9057*211.9*10^(-9)</f>
        <v>0</v>
      </c>
      <c r="P122" s="337">
        <f>CompletedProjects[[#This Row],[Annual Emissions (MMTCO2)]]*40</f>
        <v>0</v>
      </c>
      <c r="Q122" s="167"/>
      <c r="R122" s="167" t="s">
        <v>400</v>
      </c>
      <c r="S122" s="167" t="s">
        <v>465</v>
      </c>
      <c r="T122" s="167"/>
      <c r="U122" s="2"/>
      <c r="V122" s="2"/>
      <c r="Y122" s="2"/>
    </row>
    <row r="123" spans="1:25" ht="100.35">
      <c r="A123" s="167" t="s">
        <v>1308</v>
      </c>
      <c r="B123" s="182" t="s">
        <v>511</v>
      </c>
      <c r="C123" s="182" t="s">
        <v>464</v>
      </c>
      <c r="D123" s="172">
        <f>46500000*'Dev Bank Share by Country'!$G$26</f>
        <v>1007212.8246004879</v>
      </c>
      <c r="E123" s="173" t="s">
        <v>423</v>
      </c>
      <c r="F123" s="173" t="s">
        <v>424</v>
      </c>
      <c r="G123" s="262" t="s">
        <v>774</v>
      </c>
      <c r="H123" s="173" t="s">
        <v>65</v>
      </c>
      <c r="I123" s="173" t="s">
        <v>284</v>
      </c>
      <c r="J123" s="173" t="s">
        <v>79</v>
      </c>
      <c r="K123" s="241">
        <v>39898</v>
      </c>
      <c r="L123" s="173" t="s">
        <v>920</v>
      </c>
      <c r="M123" s="273"/>
      <c r="N123" s="256"/>
      <c r="O123" s="461">
        <f>CompletedProjects[[#This Row],[Power Plant Size (MW) or Share]]*0.593*9057*211.9*10^(-9)</f>
        <v>0</v>
      </c>
      <c r="P123" s="337">
        <f>CompletedProjects[[#This Row],[Annual Emissions (MMTCO2)]]*40</f>
        <v>0</v>
      </c>
      <c r="Q123" s="167"/>
      <c r="R123" s="167" t="s">
        <v>400</v>
      </c>
      <c r="S123" s="167" t="s">
        <v>465</v>
      </c>
      <c r="T123" s="167"/>
      <c r="U123" s="2"/>
      <c r="V123" s="2"/>
      <c r="Y123" s="2"/>
    </row>
    <row r="124" spans="1:25" ht="272.35000000000002">
      <c r="A124" s="167" t="s">
        <v>1308</v>
      </c>
      <c r="B124" s="167" t="s">
        <v>513</v>
      </c>
      <c r="C124" s="171" t="s">
        <v>464</v>
      </c>
      <c r="D124" s="172">
        <f>29600000*'Dev Bank Share by Country'!$C$26</f>
        <v>594960</v>
      </c>
      <c r="E124" s="173" t="s">
        <v>266</v>
      </c>
      <c r="F124" s="173" t="s">
        <v>444</v>
      </c>
      <c r="G124" s="262" t="s">
        <v>781</v>
      </c>
      <c r="H124" s="173" t="s">
        <v>85</v>
      </c>
      <c r="I124" s="173" t="s">
        <v>284</v>
      </c>
      <c r="J124" s="173" t="s">
        <v>1498</v>
      </c>
      <c r="K124" s="241">
        <v>41163</v>
      </c>
      <c r="L124" s="173" t="s">
        <v>825</v>
      </c>
      <c r="M124" s="262"/>
      <c r="N124" s="256"/>
      <c r="O124" s="461">
        <f>CompletedProjects[[#This Row],[Power Plant Size (MW) or Share]]*0.593*9057*211.9*10^(-9)</f>
        <v>0</v>
      </c>
      <c r="P124" s="337">
        <f>CompletedProjects[[#This Row],[Annual Emissions (MMTCO2)]]*40</f>
        <v>0</v>
      </c>
      <c r="Q124" s="167"/>
      <c r="R124" s="167" t="s">
        <v>400</v>
      </c>
      <c r="S124" s="167" t="s">
        <v>465</v>
      </c>
      <c r="T124" s="167"/>
      <c r="U124" s="2"/>
      <c r="V124" s="2"/>
      <c r="Y124" s="2"/>
    </row>
    <row r="125" spans="1:25" ht="157.69999999999999">
      <c r="A125" s="167" t="s">
        <v>1308</v>
      </c>
      <c r="B125" s="167" t="s">
        <v>401</v>
      </c>
      <c r="C125" s="182" t="s">
        <v>464</v>
      </c>
      <c r="D125" s="172">
        <f>2000000*'Dev Bank Share by Country'!$E$26</f>
        <v>32895.616799197494</v>
      </c>
      <c r="E125" s="173" t="s">
        <v>410</v>
      </c>
      <c r="F125" s="173" t="s">
        <v>411</v>
      </c>
      <c r="G125" s="262" t="s">
        <v>777</v>
      </c>
      <c r="H125" s="173" t="s">
        <v>412</v>
      </c>
      <c r="I125" s="173" t="s">
        <v>284</v>
      </c>
      <c r="J125" s="173" t="s">
        <v>1498</v>
      </c>
      <c r="K125" s="241">
        <v>39261</v>
      </c>
      <c r="L125" s="173" t="s">
        <v>916</v>
      </c>
      <c r="M125" s="262"/>
      <c r="N125" s="256"/>
      <c r="O125" s="461">
        <f>CompletedProjects[[#This Row],[Power Plant Size (MW) or Share]]*0.593*9057*211.9*10^(-9)</f>
        <v>0</v>
      </c>
      <c r="P125" s="337">
        <f>CompletedProjects[[#This Row],[Annual Emissions (MMTCO2)]]*40</f>
        <v>0</v>
      </c>
      <c r="Q125" s="167"/>
      <c r="R125" s="167" t="s">
        <v>400</v>
      </c>
      <c r="S125" s="167" t="s">
        <v>633</v>
      </c>
      <c r="T125" s="167"/>
      <c r="U125" s="2"/>
      <c r="V125" s="2"/>
      <c r="Y125" s="2"/>
    </row>
    <row r="126" spans="1:25" ht="114.7">
      <c r="A126" s="167" t="s">
        <v>1308</v>
      </c>
      <c r="B126" s="167" t="s">
        <v>513</v>
      </c>
      <c r="C126" s="182" t="s">
        <v>464</v>
      </c>
      <c r="D126" s="172">
        <f>3040000000*'Dev Bank Share by Country'!$C$26</f>
        <v>61104000</v>
      </c>
      <c r="E126" s="173" t="s">
        <v>41</v>
      </c>
      <c r="F126" s="173" t="s">
        <v>432</v>
      </c>
      <c r="G126" s="262" t="s">
        <v>773</v>
      </c>
      <c r="H126" s="173" t="s">
        <v>25</v>
      </c>
      <c r="I126" s="180" t="s">
        <v>283</v>
      </c>
      <c r="J126" s="173" t="s">
        <v>26</v>
      </c>
      <c r="K126" s="241">
        <v>40276</v>
      </c>
      <c r="L126" s="173" t="s">
        <v>923</v>
      </c>
      <c r="M126" s="273"/>
      <c r="N126" s="337">
        <f>4800/19/2</f>
        <v>126.31578947368421</v>
      </c>
      <c r="O126" s="461">
        <f>CompletedProjects[[#This Row],[Power Plant Size (MW) or Share]]*0.593*9057*211.9*10^(-9)</f>
        <v>0.14375655560842107</v>
      </c>
      <c r="P126" s="337">
        <f>CompletedProjects[[#This Row],[Annual Emissions (MMTCO2)]]*40</f>
        <v>5.7502622243368426</v>
      </c>
      <c r="Q126" s="167"/>
      <c r="R126" s="178" t="s">
        <v>643</v>
      </c>
      <c r="S126" s="167" t="s">
        <v>465</v>
      </c>
      <c r="T126" s="178"/>
      <c r="U126" s="2"/>
      <c r="V126" s="2"/>
      <c r="Y126" s="2"/>
    </row>
    <row r="127" spans="1:25" ht="100.35">
      <c r="A127" s="167" t="s">
        <v>1308</v>
      </c>
      <c r="B127" s="167" t="s">
        <v>513</v>
      </c>
      <c r="C127" s="167" t="s">
        <v>464</v>
      </c>
      <c r="D127" s="172">
        <f>379060000*'Dev Bank Share by Country'!$C$26</f>
        <v>7619106</v>
      </c>
      <c r="E127" s="173" t="s">
        <v>429</v>
      </c>
      <c r="F127" s="173" t="s">
        <v>430</v>
      </c>
      <c r="G127" s="262" t="s">
        <v>779</v>
      </c>
      <c r="H127" s="173" t="s">
        <v>431</v>
      </c>
      <c r="I127" s="180" t="s">
        <v>283</v>
      </c>
      <c r="J127" s="173" t="s">
        <v>26</v>
      </c>
      <c r="K127" s="241">
        <v>40115</v>
      </c>
      <c r="L127" s="173" t="s">
        <v>922</v>
      </c>
      <c r="M127" s="262"/>
      <c r="N127" s="337">
        <f>600/19/2</f>
        <v>15.789473684210526</v>
      </c>
      <c r="O127" s="461">
        <f>CompletedProjects[[#This Row],[Power Plant Size (MW) or Share]]*0.593*9057*211.9*10^(-9)</f>
        <v>1.7969569451052634E-2</v>
      </c>
      <c r="P127" s="337">
        <f>CompletedProjects[[#This Row],[Annual Emissions (MMTCO2)]]*40</f>
        <v>0.71878277804210533</v>
      </c>
      <c r="Q127" s="167"/>
      <c r="R127" s="178" t="s">
        <v>640</v>
      </c>
      <c r="S127" s="167" t="s">
        <v>633</v>
      </c>
      <c r="T127" s="178"/>
      <c r="U127" s="2"/>
      <c r="V127" s="2"/>
      <c r="Y127" s="2"/>
    </row>
    <row r="128" spans="1:25" ht="172">
      <c r="A128" s="167" t="s">
        <v>1308</v>
      </c>
      <c r="B128" s="167" t="s">
        <v>401</v>
      </c>
      <c r="C128" s="171" t="s">
        <v>464</v>
      </c>
      <c r="D128" s="172">
        <f>21000000*'Dev Bank Share by Country'!$E$26</f>
        <v>345403.97639157373</v>
      </c>
      <c r="E128" s="173" t="s">
        <v>451</v>
      </c>
      <c r="F128" s="173" t="s">
        <v>452</v>
      </c>
      <c r="G128" s="262" t="s">
        <v>793</v>
      </c>
      <c r="H128" s="173" t="s">
        <v>453</v>
      </c>
      <c r="I128" s="173" t="s">
        <v>284</v>
      </c>
      <c r="J128" s="173" t="s">
        <v>1498</v>
      </c>
      <c r="K128" s="241">
        <v>41471</v>
      </c>
      <c r="L128" s="173" t="s">
        <v>926</v>
      </c>
      <c r="M128" s="262" t="s">
        <v>898</v>
      </c>
      <c r="N128" s="256"/>
      <c r="O128" s="461">
        <f>CompletedProjects[[#This Row],[Power Plant Size (MW) or Share]]*0.593*9057*211.9*10^(-9)</f>
        <v>0</v>
      </c>
      <c r="P128" s="337">
        <f>CompletedProjects[[#This Row],[Annual Emissions (MMTCO2)]]*40</f>
        <v>0</v>
      </c>
      <c r="Q128" s="167"/>
      <c r="R128" s="167" t="s">
        <v>400</v>
      </c>
      <c r="S128" s="167" t="s">
        <v>633</v>
      </c>
      <c r="T128" s="167" t="s">
        <v>537</v>
      </c>
      <c r="U128" s="2"/>
      <c r="V128" s="2"/>
      <c r="Y128" s="2"/>
    </row>
    <row r="129" spans="1:25" ht="172">
      <c r="A129" s="167" t="s">
        <v>1308</v>
      </c>
      <c r="B129" s="167" t="s">
        <v>401</v>
      </c>
      <c r="C129" s="171" t="s">
        <v>464</v>
      </c>
      <c r="D129" s="172">
        <f>12100000*'Dev Bank Share by Country'!$E$26</f>
        <v>199018.48163514485</v>
      </c>
      <c r="E129" s="173" t="s">
        <v>451</v>
      </c>
      <c r="F129" s="173" t="s">
        <v>452</v>
      </c>
      <c r="G129" s="262" t="s">
        <v>793</v>
      </c>
      <c r="H129" s="173" t="s">
        <v>453</v>
      </c>
      <c r="I129" s="173" t="s">
        <v>284</v>
      </c>
      <c r="J129" s="173" t="s">
        <v>1498</v>
      </c>
      <c r="K129" s="241">
        <v>41471</v>
      </c>
      <c r="L129" s="173" t="s">
        <v>926</v>
      </c>
      <c r="M129" s="262" t="s">
        <v>898</v>
      </c>
      <c r="N129" s="256"/>
      <c r="O129" s="461">
        <f>CompletedProjects[[#This Row],[Power Plant Size (MW) or Share]]*0.593*9057*211.9*10^(-9)</f>
        <v>0</v>
      </c>
      <c r="P129" s="337">
        <f>CompletedProjects[[#This Row],[Annual Emissions (MMTCO2)]]*40</f>
        <v>0</v>
      </c>
      <c r="Q129" s="167"/>
      <c r="R129" s="167" t="s">
        <v>400</v>
      </c>
      <c r="S129" s="167" t="s">
        <v>633</v>
      </c>
      <c r="T129" s="167" t="s">
        <v>537</v>
      </c>
      <c r="U129" s="2"/>
      <c r="V129" s="2"/>
      <c r="Y129" s="2"/>
    </row>
    <row r="130" spans="1:25" ht="215">
      <c r="A130" s="167" t="s">
        <v>1308</v>
      </c>
      <c r="B130" s="182" t="s">
        <v>511</v>
      </c>
      <c r="C130" s="182" t="s">
        <v>464</v>
      </c>
      <c r="D130" s="172">
        <f>28000000*'Dev Bank Share by Country'!$G$26</f>
        <v>606493.74384545512</v>
      </c>
      <c r="E130" s="173" t="s">
        <v>446</v>
      </c>
      <c r="F130" s="173" t="s">
        <v>447</v>
      </c>
      <c r="G130" s="262" t="s">
        <v>782</v>
      </c>
      <c r="H130" s="173" t="s">
        <v>201</v>
      </c>
      <c r="I130" s="173" t="s">
        <v>284</v>
      </c>
      <c r="J130" s="173" t="s">
        <v>1498</v>
      </c>
      <c r="K130" s="241">
        <v>41333</v>
      </c>
      <c r="L130" s="173" t="s">
        <v>832</v>
      </c>
      <c r="M130" s="262"/>
      <c r="N130" s="256">
        <f>750/19</f>
        <v>39.473684210526315</v>
      </c>
      <c r="O130" s="461">
        <f>CompletedProjects[[#This Row],[Power Plant Size (MW) or Share]]*0.593*9057*211.9*10^(-9)</f>
        <v>4.4923923627631576E-2</v>
      </c>
      <c r="P130" s="337">
        <f>CompletedProjects[[#This Row],[Annual Emissions (MMTCO2)]]*40</f>
        <v>1.7969569451052632</v>
      </c>
      <c r="Q130" s="167"/>
      <c r="R130" s="167" t="s">
        <v>639</v>
      </c>
      <c r="S130" s="167"/>
      <c r="T130" s="167"/>
      <c r="U130" s="2"/>
      <c r="V130" s="2"/>
      <c r="Y130" s="2"/>
    </row>
    <row r="131" spans="1:25" ht="86">
      <c r="A131" s="167" t="s">
        <v>1308</v>
      </c>
      <c r="B131" s="171" t="s">
        <v>511</v>
      </c>
      <c r="C131" s="171" t="s">
        <v>464</v>
      </c>
      <c r="D131" s="172">
        <f>45500000*'Dev Bank Share by Country'!$G$26</f>
        <v>985552.33374886459</v>
      </c>
      <c r="E131" s="173" t="s">
        <v>440</v>
      </c>
      <c r="F131" s="173" t="s">
        <v>441</v>
      </c>
      <c r="G131" s="262" t="s">
        <v>771</v>
      </c>
      <c r="H131" s="173" t="s">
        <v>442</v>
      </c>
      <c r="I131" s="173" t="s">
        <v>40</v>
      </c>
      <c r="J131" s="173" t="s">
        <v>443</v>
      </c>
      <c r="K131" s="241">
        <v>41060</v>
      </c>
      <c r="L131" s="173" t="s">
        <v>924</v>
      </c>
      <c r="M131" s="273"/>
      <c r="N131" s="256"/>
      <c r="O131" s="461">
        <f>CompletedProjects[[#This Row],[Power Plant Size (MW) or Share]]*0.593*9057*211.9*10^(-9)</f>
        <v>0</v>
      </c>
      <c r="P131" s="337">
        <f>CompletedProjects[[#This Row],[Annual Emissions (MMTCO2)]]*40</f>
        <v>0</v>
      </c>
      <c r="Q131" s="167"/>
      <c r="R131" s="167" t="s">
        <v>400</v>
      </c>
      <c r="S131" s="167" t="s">
        <v>465</v>
      </c>
      <c r="T131" s="167"/>
      <c r="U131" s="2"/>
      <c r="V131" s="2"/>
      <c r="Y131" s="2"/>
    </row>
    <row r="132" spans="1:25" ht="215">
      <c r="A132" s="167" t="s">
        <v>1308</v>
      </c>
      <c r="B132" s="167" t="s">
        <v>401</v>
      </c>
      <c r="C132" s="182" t="s">
        <v>464</v>
      </c>
      <c r="D132" s="172">
        <f>200000000*'Dev Bank Share by Country'!$E$26</f>
        <v>3289561.6799197495</v>
      </c>
      <c r="E132" s="173" t="s">
        <v>461</v>
      </c>
      <c r="F132" s="173" t="s">
        <v>462</v>
      </c>
      <c r="G132" s="262" t="s">
        <v>795</v>
      </c>
      <c r="H132" s="173" t="s">
        <v>442</v>
      </c>
      <c r="I132" s="173" t="s">
        <v>284</v>
      </c>
      <c r="J132" s="173" t="s">
        <v>1498</v>
      </c>
      <c r="K132" s="241">
        <v>41760</v>
      </c>
      <c r="L132" s="173" t="s">
        <v>831</v>
      </c>
      <c r="M132" s="262" t="s">
        <v>830</v>
      </c>
      <c r="N132" s="256"/>
      <c r="O132" s="461">
        <f>CompletedProjects[[#This Row],[Power Plant Size (MW) or Share]]*0.593*9057*211.9*10^(-9)</f>
        <v>0</v>
      </c>
      <c r="P132" s="337">
        <f>CompletedProjects[[#This Row],[Annual Emissions (MMTCO2)]]*40</f>
        <v>0</v>
      </c>
      <c r="Q132" s="167"/>
      <c r="R132" s="167" t="s">
        <v>400</v>
      </c>
      <c r="S132" s="167" t="s">
        <v>465</v>
      </c>
      <c r="T132" s="167"/>
      <c r="U132" s="2"/>
      <c r="V132" s="2"/>
      <c r="Y132" s="2"/>
    </row>
    <row r="133" spans="1:25" ht="114.7">
      <c r="A133" s="167" t="s">
        <v>1308</v>
      </c>
      <c r="B133" s="167" t="s">
        <v>401</v>
      </c>
      <c r="C133" s="171" t="s">
        <v>464</v>
      </c>
      <c r="D133" s="172">
        <f>280000*'Dev Bank Share by Country'!$E$26</f>
        <v>4605.3863518876497</v>
      </c>
      <c r="E133" s="173" t="s">
        <v>437</v>
      </c>
      <c r="F133" s="173" t="s">
        <v>438</v>
      </c>
      <c r="G133" s="262" t="s">
        <v>790</v>
      </c>
      <c r="H133" s="173" t="s">
        <v>439</v>
      </c>
      <c r="I133" s="173" t="s">
        <v>284</v>
      </c>
      <c r="J133" s="173" t="s">
        <v>1498</v>
      </c>
      <c r="K133" s="241">
        <v>41039</v>
      </c>
      <c r="L133" s="173" t="s">
        <v>897</v>
      </c>
      <c r="M133" s="273" t="s">
        <v>780</v>
      </c>
      <c r="N133" s="256"/>
      <c r="O133" s="461">
        <f>CompletedProjects[[#This Row],[Power Plant Size (MW) or Share]]*0.593*9057*211.9*10^(-9)</f>
        <v>0</v>
      </c>
      <c r="P133" s="337">
        <f>CompletedProjects[[#This Row],[Annual Emissions (MMTCO2)]]*40</f>
        <v>0</v>
      </c>
      <c r="Q133" s="167"/>
      <c r="R133" s="167" t="s">
        <v>400</v>
      </c>
      <c r="S133" s="167" t="s">
        <v>465</v>
      </c>
      <c r="T133" s="167"/>
      <c r="U133" s="2"/>
      <c r="V133" s="2"/>
      <c r="Y133" s="2"/>
    </row>
    <row r="134" spans="1:25" ht="172">
      <c r="A134" s="167" t="s">
        <v>1308</v>
      </c>
      <c r="B134" s="167" t="s">
        <v>513</v>
      </c>
      <c r="C134" s="167" t="s">
        <v>464</v>
      </c>
      <c r="D134" s="172">
        <f>57000000*'Dev Bank Share by Country'!$C$26</f>
        <v>1145700</v>
      </c>
      <c r="E134" s="173" t="s">
        <v>415</v>
      </c>
      <c r="F134" s="173" t="s">
        <v>416</v>
      </c>
      <c r="G134" s="262" t="s">
        <v>772</v>
      </c>
      <c r="H134" s="173" t="s">
        <v>368</v>
      </c>
      <c r="I134" s="173" t="s">
        <v>40</v>
      </c>
      <c r="J134" s="173" t="s">
        <v>417</v>
      </c>
      <c r="K134" s="241">
        <v>39436</v>
      </c>
      <c r="L134" s="173" t="s">
        <v>918</v>
      </c>
      <c r="M134" s="273" t="s">
        <v>895</v>
      </c>
      <c r="N134" s="256"/>
      <c r="O134" s="461">
        <f>CompletedProjects[[#This Row],[Power Plant Size (MW) or Share]]*0.593*9057*211.9*10^(-9)</f>
        <v>0</v>
      </c>
      <c r="P134" s="337">
        <f>CompletedProjects[[#This Row],[Annual Emissions (MMTCO2)]]*40</f>
        <v>0</v>
      </c>
      <c r="Q134" s="167"/>
      <c r="R134" s="167" t="s">
        <v>400</v>
      </c>
      <c r="S134" s="167" t="s">
        <v>633</v>
      </c>
      <c r="T134" s="167"/>
      <c r="U134" s="2"/>
      <c r="V134" s="2"/>
      <c r="Y134" s="2"/>
    </row>
    <row r="135" spans="1:25" ht="172">
      <c r="A135" s="167" t="s">
        <v>20</v>
      </c>
      <c r="B135" s="167" t="s">
        <v>397</v>
      </c>
      <c r="C135" s="167" t="s">
        <v>464</v>
      </c>
      <c r="D135" s="172">
        <f>500000000*'Dev Bank Share by Country'!$G$33</f>
        <v>15848768.974118469</v>
      </c>
      <c r="E135" s="173" t="s">
        <v>454</v>
      </c>
      <c r="F135" s="173" t="s">
        <v>455</v>
      </c>
      <c r="G135" s="262" t="s">
        <v>783</v>
      </c>
      <c r="H135" s="183" t="s">
        <v>515</v>
      </c>
      <c r="I135" s="180" t="s">
        <v>283</v>
      </c>
      <c r="J135" s="173" t="s">
        <v>26</v>
      </c>
      <c r="K135" s="241">
        <v>41760</v>
      </c>
      <c r="L135" s="173" t="s">
        <v>833</v>
      </c>
      <c r="M135" s="262"/>
      <c r="N135" s="256">
        <f>(270+450)/19</f>
        <v>37.89473684210526</v>
      </c>
      <c r="O135" s="461">
        <f>CompletedProjects[[#This Row],[Power Plant Size (MW) or Share]]*0.593*9057*211.9*10^(-9)</f>
        <v>4.3126966682526316E-2</v>
      </c>
      <c r="P135" s="337">
        <f>CompletedProjects[[#This Row],[Annual Emissions (MMTCO2)]]*40</f>
        <v>1.7250786673010525</v>
      </c>
      <c r="Q135" s="167"/>
      <c r="R135" s="167" t="s">
        <v>639</v>
      </c>
      <c r="S135" s="167" t="s">
        <v>465</v>
      </c>
      <c r="T135" s="167"/>
      <c r="U135" s="2"/>
      <c r="V135" s="2"/>
      <c r="Y135" s="2"/>
    </row>
    <row r="136" spans="1:25" ht="172">
      <c r="A136" s="167" t="s">
        <v>20</v>
      </c>
      <c r="B136" s="167" t="s">
        <v>1317</v>
      </c>
      <c r="C136" s="167" t="s">
        <v>464</v>
      </c>
      <c r="D136" s="172">
        <f>1120000*'Dev Bank Share by Country'!$E$33</f>
        <v>2715.5921172329886</v>
      </c>
      <c r="E136" s="173" t="s">
        <v>402</v>
      </c>
      <c r="F136" s="173" t="s">
        <v>403</v>
      </c>
      <c r="G136" s="262" t="s">
        <v>785</v>
      </c>
      <c r="H136" s="173" t="s">
        <v>404</v>
      </c>
      <c r="I136" s="173" t="s">
        <v>284</v>
      </c>
      <c r="J136" s="173" t="s">
        <v>1498</v>
      </c>
      <c r="K136" s="241">
        <v>39224</v>
      </c>
      <c r="L136" s="173" t="s">
        <v>826</v>
      </c>
      <c r="M136" s="262" t="s">
        <v>785</v>
      </c>
      <c r="N136" s="256"/>
      <c r="O136" s="461">
        <f>CompletedProjects[[#This Row],[Power Plant Size (MW) or Share]]*0.593*9057*211.9*10^(-9)</f>
        <v>0</v>
      </c>
      <c r="P136" s="337">
        <f>CompletedProjects[[#This Row],[Annual Emissions (MMTCO2)]]*40</f>
        <v>0</v>
      </c>
      <c r="Q136" s="167"/>
      <c r="R136" s="167" t="s">
        <v>400</v>
      </c>
      <c r="S136" s="167" t="s">
        <v>633</v>
      </c>
      <c r="T136" s="167" t="s">
        <v>537</v>
      </c>
      <c r="U136" s="2"/>
      <c r="V136" s="2"/>
      <c r="Y136" s="2"/>
    </row>
    <row r="137" spans="1:25" ht="172">
      <c r="A137" s="167" t="s">
        <v>20</v>
      </c>
      <c r="B137" s="167" t="s">
        <v>401</v>
      </c>
      <c r="C137" s="167" t="s">
        <v>464</v>
      </c>
      <c r="D137" s="172">
        <f>4200000*'Dev Bank Share by Country'!$E$33</f>
        <v>10183.470439623707</v>
      </c>
      <c r="E137" s="173" t="s">
        <v>448</v>
      </c>
      <c r="F137" s="173" t="s">
        <v>449</v>
      </c>
      <c r="G137" s="262" t="s">
        <v>792</v>
      </c>
      <c r="H137" s="173" t="s">
        <v>450</v>
      </c>
      <c r="I137" s="173" t="s">
        <v>40</v>
      </c>
      <c r="J137" s="173" t="s">
        <v>1502</v>
      </c>
      <c r="K137" s="241">
        <v>41404</v>
      </c>
      <c r="L137" s="173" t="s">
        <v>925</v>
      </c>
      <c r="M137" s="262"/>
      <c r="N137" s="256"/>
      <c r="O137" s="461">
        <f>CompletedProjects[[#This Row],[Power Plant Size (MW) or Share]]*0.593*9057*211.9*10^(-9)</f>
        <v>0</v>
      </c>
      <c r="P137" s="337">
        <f>CompletedProjects[[#This Row],[Annual Emissions (MMTCO2)]]*40</f>
        <v>0</v>
      </c>
      <c r="Q137" s="167"/>
      <c r="R137" s="167" t="s">
        <v>400</v>
      </c>
      <c r="S137" s="167" t="s">
        <v>465</v>
      </c>
      <c r="T137" s="167"/>
      <c r="U137" s="2"/>
      <c r="V137" s="2"/>
      <c r="Y137" s="2"/>
    </row>
    <row r="138" spans="1:25" ht="57.35">
      <c r="A138" s="167" t="s">
        <v>20</v>
      </c>
      <c r="B138" s="186" t="s">
        <v>519</v>
      </c>
      <c r="C138" s="186" t="s">
        <v>464</v>
      </c>
      <c r="D138" s="172">
        <f>500000*'Dev Bank Share by Country'!$K$33</f>
        <v>26185</v>
      </c>
      <c r="E138" s="173" t="s">
        <v>531</v>
      </c>
      <c r="F138" s="173" t="s">
        <v>532</v>
      </c>
      <c r="G138" s="262"/>
      <c r="H138" s="173" t="s">
        <v>239</v>
      </c>
      <c r="I138" s="180" t="s">
        <v>283</v>
      </c>
      <c r="J138" s="173" t="s">
        <v>26</v>
      </c>
      <c r="K138" s="241">
        <v>40035</v>
      </c>
      <c r="L138" s="178" t="s">
        <v>1322</v>
      </c>
      <c r="M138" s="262"/>
      <c r="N138" s="337">
        <f>600/13</f>
        <v>46.153846153846153</v>
      </c>
      <c r="O138" s="461">
        <f>CompletedProjects[[#This Row],[Power Plant Size (MW) or Share]]*0.593*9057*211.9*10^(-9)</f>
        <v>5.2526433780000006E-2</v>
      </c>
      <c r="P138" s="337">
        <f>CompletedProjects[[#This Row],[Annual Emissions (MMTCO2)]]*40</f>
        <v>2.1010573512000001</v>
      </c>
      <c r="Q138" s="176"/>
      <c r="R138" s="178" t="s">
        <v>524</v>
      </c>
      <c r="S138" s="167"/>
      <c r="T138" s="178"/>
      <c r="U138" s="2"/>
      <c r="V138" s="2"/>
      <c r="Y138" s="2"/>
    </row>
    <row r="139" spans="1:25" ht="157.69999999999999">
      <c r="A139" s="167" t="s">
        <v>20</v>
      </c>
      <c r="B139" s="167" t="s">
        <v>414</v>
      </c>
      <c r="C139" s="167" t="s">
        <v>464</v>
      </c>
      <c r="D139" s="172">
        <f>180000000*'Dev Bank Share by Country'!$C$33</f>
        <v>126000</v>
      </c>
      <c r="E139" s="173" t="s">
        <v>425</v>
      </c>
      <c r="F139" s="173" t="s">
        <v>426</v>
      </c>
      <c r="G139" s="262" t="s">
        <v>770</v>
      </c>
      <c r="H139" s="173" t="s">
        <v>65</v>
      </c>
      <c r="I139" s="180" t="s">
        <v>283</v>
      </c>
      <c r="J139" s="173" t="s">
        <v>277</v>
      </c>
      <c r="K139" s="241">
        <v>39982</v>
      </c>
      <c r="L139" s="173" t="s">
        <v>921</v>
      </c>
      <c r="M139" s="273"/>
      <c r="N139" s="256">
        <f>420/19</f>
        <v>22.105263157894736</v>
      </c>
      <c r="O139" s="461">
        <f>CompletedProjects[[#This Row],[Power Plant Size (MW) or Share]]*0.593*9057*211.9*10^(-9)</f>
        <v>2.5157397231473682E-2</v>
      </c>
      <c r="P139" s="337">
        <f>CompletedProjects[[#This Row],[Annual Emissions (MMTCO2)]]*40</f>
        <v>1.0062958892589473</v>
      </c>
      <c r="Q139" s="167"/>
      <c r="R139" s="167" t="s">
        <v>638</v>
      </c>
      <c r="S139" s="167" t="s">
        <v>466</v>
      </c>
      <c r="T139" s="167"/>
      <c r="U139" s="2"/>
      <c r="V139" s="2"/>
      <c r="Y139" s="2"/>
    </row>
    <row r="140" spans="1:25" ht="43">
      <c r="A140" s="167" t="s">
        <v>20</v>
      </c>
      <c r="B140" s="167" t="s">
        <v>397</v>
      </c>
      <c r="C140" s="167" t="s">
        <v>464</v>
      </c>
      <c r="D140" s="172">
        <f>740000000*'Dev Bank Share by Country'!$G$33</f>
        <v>23456178.081695333</v>
      </c>
      <c r="E140" s="173" t="s">
        <v>418</v>
      </c>
      <c r="F140" s="173" t="s">
        <v>419</v>
      </c>
      <c r="G140" s="262" t="s">
        <v>765</v>
      </c>
      <c r="H140" s="173" t="s">
        <v>144</v>
      </c>
      <c r="I140" s="180" t="s">
        <v>283</v>
      </c>
      <c r="J140" s="173" t="s">
        <v>26</v>
      </c>
      <c r="K140" s="241">
        <v>39520</v>
      </c>
      <c r="L140" s="202" t="s">
        <v>1312</v>
      </c>
      <c r="M140" s="451"/>
      <c r="N140" s="256">
        <f>330/19</f>
        <v>17.368421052631579</v>
      </c>
      <c r="O140" s="461">
        <f>CompletedProjects[[#This Row],[Power Plant Size (MW) or Share]]*0.593*9057*211.9*10^(-9)</f>
        <v>1.9766526396157894E-2</v>
      </c>
      <c r="P140" s="337">
        <f>CompletedProjects[[#This Row],[Annual Emissions (MMTCO2)]]*40</f>
        <v>0.79066105584631574</v>
      </c>
      <c r="Q140" s="167"/>
      <c r="R140" s="167" t="s">
        <v>400</v>
      </c>
      <c r="S140" s="167" t="s">
        <v>633</v>
      </c>
      <c r="T140" s="167"/>
      <c r="U140" s="2"/>
      <c r="V140" s="2"/>
      <c r="Y140" s="2"/>
    </row>
    <row r="141" spans="1:25" ht="71.7">
      <c r="A141" s="167" t="s">
        <v>20</v>
      </c>
      <c r="B141" s="186" t="s">
        <v>519</v>
      </c>
      <c r="C141" s="186" t="s">
        <v>464</v>
      </c>
      <c r="D141" s="172">
        <f>350000*'Dev Bank Share by Country'!$K$33</f>
        <v>18329.5</v>
      </c>
      <c r="E141" s="173" t="s">
        <v>542</v>
      </c>
      <c r="F141" s="173" t="s">
        <v>543</v>
      </c>
      <c r="G141" s="262"/>
      <c r="H141" s="173" t="s">
        <v>201</v>
      </c>
      <c r="I141" s="173" t="s">
        <v>40</v>
      </c>
      <c r="J141" s="173" t="s">
        <v>40</v>
      </c>
      <c r="K141" s="241">
        <v>41977</v>
      </c>
      <c r="L141" s="173" t="s">
        <v>1713</v>
      </c>
      <c r="M141" s="262" t="s">
        <v>805</v>
      </c>
      <c r="N141" s="102"/>
      <c r="O141" s="461">
        <f>CompletedProjects[[#This Row],[Power Plant Size (MW) or Share]]*0.593*9057*211.9*10^(-9)</f>
        <v>0</v>
      </c>
      <c r="P141" s="337">
        <f>CompletedProjects[[#This Row],[Annual Emissions (MMTCO2)]]*40</f>
        <v>0</v>
      </c>
      <c r="Q141" s="173"/>
      <c r="R141" s="178"/>
      <c r="S141" s="167"/>
      <c r="T141" s="178"/>
      <c r="U141" s="2"/>
      <c r="V141" s="2"/>
      <c r="Y141" s="2"/>
    </row>
    <row r="142" spans="1:25" ht="43">
      <c r="A142" s="218" t="s">
        <v>20</v>
      </c>
      <c r="B142" s="218" t="s">
        <v>559</v>
      </c>
      <c r="C142" s="218" t="s">
        <v>464</v>
      </c>
      <c r="D142" s="172">
        <v>1914843.5873929833</v>
      </c>
      <c r="E142" s="173" t="s">
        <v>602</v>
      </c>
      <c r="F142" s="173" t="s">
        <v>603</v>
      </c>
      <c r="G142" s="262" t="s">
        <v>801</v>
      </c>
      <c r="H142" s="173" t="s">
        <v>39</v>
      </c>
      <c r="I142" s="180" t="s">
        <v>283</v>
      </c>
      <c r="J142" s="173" t="s">
        <v>277</v>
      </c>
      <c r="K142" s="240">
        <v>40561</v>
      </c>
      <c r="L142" s="173" t="s">
        <v>910</v>
      </c>
      <c r="M142" s="262"/>
      <c r="N142" s="337">
        <f>60/12</f>
        <v>5</v>
      </c>
      <c r="O142" s="461">
        <f>CompletedProjects[[#This Row],[Power Plant Size (MW) or Share]]*0.593*9057*211.9*10^(-9)</f>
        <v>5.6903636594999992E-3</v>
      </c>
      <c r="P142" s="337">
        <f>CompletedProjects[[#This Row],[Annual Emissions (MMTCO2)]]*40</f>
        <v>0.22761454637999998</v>
      </c>
      <c r="Q142" s="176"/>
      <c r="R142" s="178" t="s">
        <v>537</v>
      </c>
      <c r="S142" s="167"/>
      <c r="T142" s="178"/>
      <c r="U142" s="2"/>
      <c r="V142" s="2"/>
      <c r="Y142" s="2"/>
    </row>
    <row r="143" spans="1:25" ht="57.35">
      <c r="A143" s="167" t="s">
        <v>20</v>
      </c>
      <c r="B143" s="182" t="s">
        <v>559</v>
      </c>
      <c r="C143" s="182" t="s">
        <v>464</v>
      </c>
      <c r="D143" s="172">
        <v>2415123.2573124799</v>
      </c>
      <c r="E143" s="173" t="s">
        <v>610</v>
      </c>
      <c r="F143" s="173" t="s">
        <v>610</v>
      </c>
      <c r="G143" s="262" t="s">
        <v>1604</v>
      </c>
      <c r="H143" s="173" t="s">
        <v>368</v>
      </c>
      <c r="I143" s="173" t="s">
        <v>40</v>
      </c>
      <c r="J143" s="173" t="s">
        <v>40</v>
      </c>
      <c r="K143" s="240">
        <v>41264</v>
      </c>
      <c r="L143" s="173" t="s">
        <v>1695</v>
      </c>
      <c r="M143" s="262"/>
      <c r="N143" s="337"/>
      <c r="O143" s="461">
        <f>CompletedProjects[[#This Row],[Power Plant Size (MW) or Share]]*0.593*9057*211.9*10^(-9)</f>
        <v>0</v>
      </c>
      <c r="P143" s="337">
        <f>CompletedProjects[[#This Row],[Annual Emissions (MMTCO2)]]*40</f>
        <v>0</v>
      </c>
      <c r="Q143" s="176"/>
      <c r="R143" s="178"/>
      <c r="S143" s="167"/>
      <c r="T143" s="178"/>
      <c r="U143" s="2"/>
      <c r="V143" s="2"/>
      <c r="Y143" s="2"/>
    </row>
    <row r="144" spans="1:25" ht="258">
      <c r="A144" s="167" t="s">
        <v>20</v>
      </c>
      <c r="B144" s="167" t="s">
        <v>401</v>
      </c>
      <c r="C144" s="167" t="s">
        <v>464</v>
      </c>
      <c r="D144" s="172">
        <f>11000000*'Dev Bank Share by Country'!$E$33</f>
        <v>26670.99400853828</v>
      </c>
      <c r="E144" s="173" t="s">
        <v>420</v>
      </c>
      <c r="F144" s="173" t="s">
        <v>421</v>
      </c>
      <c r="G144" s="262" t="s">
        <v>769</v>
      </c>
      <c r="H144" s="173" t="s">
        <v>422</v>
      </c>
      <c r="I144" s="180" t="s">
        <v>283</v>
      </c>
      <c r="J144" s="173" t="s">
        <v>277</v>
      </c>
      <c r="K144" s="241">
        <v>39777</v>
      </c>
      <c r="L144" s="197"/>
      <c r="M144" s="273"/>
      <c r="N144" s="256"/>
      <c r="O144" s="461">
        <f>CompletedProjects[[#This Row],[Power Plant Size (MW) or Share]]*0.593*9057*211.9*10^(-9)</f>
        <v>0</v>
      </c>
      <c r="P144" s="337">
        <f>CompletedProjects[[#This Row],[Annual Emissions (MMTCO2)]]*40</f>
        <v>0</v>
      </c>
      <c r="Q144" s="167"/>
      <c r="R144" s="173" t="s">
        <v>834</v>
      </c>
      <c r="S144" s="167" t="s">
        <v>633</v>
      </c>
      <c r="T144" s="173"/>
      <c r="U144" s="2"/>
      <c r="V144" s="2"/>
      <c r="Y144" s="2"/>
    </row>
    <row r="145" spans="1:25" ht="71.7">
      <c r="A145" s="167" t="s">
        <v>20</v>
      </c>
      <c r="B145" s="186" t="s">
        <v>519</v>
      </c>
      <c r="C145" s="186" t="s">
        <v>464</v>
      </c>
      <c r="D145" s="172">
        <f>900525000*'Dev Bank Share by Country'!$K$33</f>
        <v>47160494.25</v>
      </c>
      <c r="E145" s="173" t="s">
        <v>510</v>
      </c>
      <c r="F145" s="173" t="s">
        <v>541</v>
      </c>
      <c r="G145" s="262"/>
      <c r="H145" s="173" t="s">
        <v>442</v>
      </c>
      <c r="I145" s="180" t="s">
        <v>283</v>
      </c>
      <c r="J145" s="173" t="s">
        <v>26</v>
      </c>
      <c r="K145" s="241">
        <v>41617</v>
      </c>
      <c r="L145" s="178" t="s">
        <v>1712</v>
      </c>
      <c r="M145" s="262" t="s">
        <v>902</v>
      </c>
      <c r="N145" s="337">
        <f>600/13</f>
        <v>46.153846153846153</v>
      </c>
      <c r="O145" s="461">
        <f>CompletedProjects[[#This Row],[Power Plant Size (MW) or Share]]*0.593*9057*211.9*10^(-9)</f>
        <v>5.2526433780000006E-2</v>
      </c>
      <c r="P145" s="337">
        <f>CompletedProjects[[#This Row],[Annual Emissions (MMTCO2)]]*40</f>
        <v>2.1010573512000001</v>
      </c>
      <c r="Q145" s="176"/>
      <c r="R145" s="178" t="s">
        <v>524</v>
      </c>
      <c r="S145" s="167"/>
      <c r="T145" s="178"/>
      <c r="U145" s="2"/>
      <c r="V145" s="2"/>
      <c r="Y145" s="2"/>
    </row>
    <row r="146" spans="1:25" ht="28.7">
      <c r="A146" s="181" t="s">
        <v>20</v>
      </c>
      <c r="B146" s="182" t="s">
        <v>519</v>
      </c>
      <c r="C146" s="182" t="s">
        <v>464</v>
      </c>
      <c r="D146" s="172">
        <f>70500000*'Dev Bank Share by Country'!$K$33</f>
        <v>3692085</v>
      </c>
      <c r="E146" s="183" t="s">
        <v>1400</v>
      </c>
      <c r="F146" s="183" t="s">
        <v>1399</v>
      </c>
      <c r="G146" s="267" t="s">
        <v>1401</v>
      </c>
      <c r="H146" s="183" t="s">
        <v>273</v>
      </c>
      <c r="I146" s="180" t="s">
        <v>283</v>
      </c>
      <c r="J146" s="183" t="s">
        <v>26</v>
      </c>
      <c r="K146" s="242">
        <v>40813</v>
      </c>
      <c r="L146" s="183" t="s">
        <v>1711</v>
      </c>
      <c r="M146" s="262"/>
      <c r="N146" s="338"/>
      <c r="O146" s="461">
        <f>CompletedProjects[[#This Row],[Power Plant Size (MW) or Share]]*0.593*9057*211.9*10^(-9)</f>
        <v>0</v>
      </c>
      <c r="P146" s="337">
        <f>CompletedProjects[[#This Row],[Annual Emissions (MMTCO2)]]*40</f>
        <v>0</v>
      </c>
      <c r="Q146" s="176"/>
      <c r="R146" s="185"/>
      <c r="S146" s="181"/>
      <c r="T146" s="185"/>
      <c r="U146" s="2"/>
      <c r="V146" s="2"/>
      <c r="Y146" s="2"/>
    </row>
    <row r="147" spans="1:25" ht="57.35">
      <c r="A147" s="167" t="s">
        <v>20</v>
      </c>
      <c r="B147" s="167" t="s">
        <v>519</v>
      </c>
      <c r="C147" s="194" t="s">
        <v>464</v>
      </c>
      <c r="D147" s="172">
        <f>200000000*'Dev Bank Share by Country'!$K$33</f>
        <v>10474000</v>
      </c>
      <c r="E147" s="173" t="s">
        <v>413</v>
      </c>
      <c r="F147" s="173" t="s">
        <v>523</v>
      </c>
      <c r="G147" s="262"/>
      <c r="H147" s="173" t="s">
        <v>95</v>
      </c>
      <c r="I147" s="180" t="s">
        <v>283</v>
      </c>
      <c r="J147" s="173" t="s">
        <v>277</v>
      </c>
      <c r="K147" s="241">
        <v>39554</v>
      </c>
      <c r="L147" s="167" t="s">
        <v>1319</v>
      </c>
      <c r="M147" s="262"/>
      <c r="N147" s="256">
        <f>600/13/2</f>
        <v>23.076923076923077</v>
      </c>
      <c r="O147" s="461">
        <f>CompletedProjects[[#This Row],[Power Plant Size (MW) or Share]]*0.593*9057*211.9*10^(-9)</f>
        <v>2.6263216890000003E-2</v>
      </c>
      <c r="P147" s="337">
        <f>CompletedProjects[[#This Row],[Annual Emissions (MMTCO2)]]*40</f>
        <v>1.0505286756000001</v>
      </c>
      <c r="Q147" s="203"/>
      <c r="R147" s="167" t="s">
        <v>641</v>
      </c>
      <c r="S147" s="167"/>
      <c r="T147" s="167"/>
      <c r="U147" s="2"/>
      <c r="V147" s="2"/>
      <c r="Y147" s="2"/>
    </row>
    <row r="148" spans="1:25" ht="43">
      <c r="A148" s="167" t="s">
        <v>20</v>
      </c>
      <c r="B148" s="167" t="s">
        <v>519</v>
      </c>
      <c r="C148" s="194" t="s">
        <v>464</v>
      </c>
      <c r="D148" s="172">
        <f>27860000*'Dev Bank Share by Country'!$K$33</f>
        <v>1459028.2</v>
      </c>
      <c r="E148" s="173" t="s">
        <v>520</v>
      </c>
      <c r="F148" s="173" t="s">
        <v>521</v>
      </c>
      <c r="G148" s="262"/>
      <c r="H148" s="173" t="s">
        <v>63</v>
      </c>
      <c r="I148" s="180" t="s">
        <v>283</v>
      </c>
      <c r="J148" s="173" t="s">
        <v>26</v>
      </c>
      <c r="K148" s="241">
        <v>39357</v>
      </c>
      <c r="L148" s="167" t="s">
        <v>1320</v>
      </c>
      <c r="M148" s="262"/>
      <c r="N148" s="256">
        <f>1080/13</f>
        <v>83.07692307692308</v>
      </c>
      <c r="O148" s="461">
        <f>CompletedProjects[[#This Row],[Power Plant Size (MW) or Share]]*0.593*9057*211.9*10^(-9)</f>
        <v>9.4547580804000012E-2</v>
      </c>
      <c r="P148" s="337">
        <f>CompletedProjects[[#This Row],[Annual Emissions (MMTCO2)]]*40</f>
        <v>3.7819032321600003</v>
      </c>
      <c r="Q148" s="203"/>
      <c r="R148" s="167" t="s">
        <v>522</v>
      </c>
      <c r="S148" s="167"/>
      <c r="T148" s="167"/>
      <c r="U148" s="2"/>
      <c r="V148" s="2"/>
      <c r="Y148" s="2"/>
    </row>
    <row r="149" spans="1:25" ht="114.7">
      <c r="A149" s="167" t="s">
        <v>20</v>
      </c>
      <c r="B149" s="171" t="s">
        <v>559</v>
      </c>
      <c r="C149" s="171" t="s">
        <v>464</v>
      </c>
      <c r="D149" s="172">
        <v>6878341.471042607</v>
      </c>
      <c r="E149" s="173" t="s">
        <v>560</v>
      </c>
      <c r="F149" s="173" t="s">
        <v>561</v>
      </c>
      <c r="G149" s="262" t="s">
        <v>790</v>
      </c>
      <c r="H149" s="173" t="s">
        <v>56</v>
      </c>
      <c r="I149" s="173" t="s">
        <v>284</v>
      </c>
      <c r="J149" s="173" t="s">
        <v>79</v>
      </c>
      <c r="K149" s="240">
        <v>42278</v>
      </c>
      <c r="L149" s="173" t="s">
        <v>865</v>
      </c>
      <c r="M149" s="262" t="s">
        <v>866</v>
      </c>
      <c r="N149" s="337"/>
      <c r="O149" s="461">
        <f>CompletedProjects[[#This Row],[Power Plant Size (MW) or Share]]*0.593*9057*211.9*10^(-9)</f>
        <v>0</v>
      </c>
      <c r="P149" s="337">
        <f>CompletedProjects[[#This Row],[Annual Emissions (MMTCO2)]]*40</f>
        <v>0</v>
      </c>
      <c r="Q149" s="176"/>
      <c r="R149" s="178"/>
      <c r="S149" s="167"/>
      <c r="T149" s="178"/>
      <c r="U149" s="2"/>
      <c r="V149" s="2"/>
      <c r="Y149" s="2"/>
    </row>
    <row r="150" spans="1:25" ht="28.7">
      <c r="A150" s="183" t="s">
        <v>20</v>
      </c>
      <c r="B150" s="183" t="s">
        <v>508</v>
      </c>
      <c r="C150" s="183" t="s">
        <v>464</v>
      </c>
      <c r="D150" s="172">
        <f>147000000*'Dev Bank Share by Country'!$O$33</f>
        <v>5883321.7726599555</v>
      </c>
      <c r="E150" s="173" t="s">
        <v>471</v>
      </c>
      <c r="F150" s="173" t="s">
        <v>472</v>
      </c>
      <c r="G150" s="262" t="s">
        <v>930</v>
      </c>
      <c r="H150" s="173" t="s">
        <v>473</v>
      </c>
      <c r="I150" s="180" t="s">
        <v>283</v>
      </c>
      <c r="J150" s="173" t="s">
        <v>26</v>
      </c>
      <c r="K150" s="241">
        <v>39892</v>
      </c>
      <c r="L150" s="197"/>
      <c r="M150" s="262"/>
      <c r="N150" s="150">
        <f>720/12</f>
        <v>60</v>
      </c>
      <c r="O150" s="461">
        <f>CompletedProjects[[#This Row],[Power Plant Size (MW) or Share]]*0.593*9057*211.9*10^(-9)</f>
        <v>6.8284363914000015E-2</v>
      </c>
      <c r="P150" s="337">
        <f>CompletedProjects[[#This Row],[Annual Emissions (MMTCO2)]]*40</f>
        <v>2.7313745565600005</v>
      </c>
      <c r="Q150" s="203"/>
      <c r="R150" s="173"/>
      <c r="S150" s="167"/>
      <c r="T150" s="173"/>
      <c r="U150" s="2"/>
      <c r="V150" s="2"/>
      <c r="Y150" s="2"/>
    </row>
    <row r="151" spans="1:25" ht="43">
      <c r="A151" s="183" t="s">
        <v>20</v>
      </c>
      <c r="B151" s="183" t="s">
        <v>508</v>
      </c>
      <c r="C151" s="183" t="s">
        <v>464</v>
      </c>
      <c r="D151" s="172">
        <f>50000000*'Dev Bank Share by Country'!$O$33</f>
        <v>2001129.8546462434</v>
      </c>
      <c r="E151" s="173" t="s">
        <v>475</v>
      </c>
      <c r="F151" s="173" t="s">
        <v>476</v>
      </c>
      <c r="G151" s="262" t="s">
        <v>931</v>
      </c>
      <c r="H151" s="173" t="s">
        <v>473</v>
      </c>
      <c r="I151" s="180" t="s">
        <v>283</v>
      </c>
      <c r="J151" s="173" t="s">
        <v>26</v>
      </c>
      <c r="K151" s="241">
        <v>39892</v>
      </c>
      <c r="L151" s="197"/>
      <c r="M151" s="262"/>
      <c r="N151" s="462">
        <f>360/12</f>
        <v>30</v>
      </c>
      <c r="O151" s="461">
        <f>CompletedProjects[[#This Row],[Power Plant Size (MW) or Share]]*0.593*9057*211.9*10^(-9)</f>
        <v>3.4142181957000008E-2</v>
      </c>
      <c r="P151" s="337">
        <f>CompletedProjects[[#This Row],[Annual Emissions (MMTCO2)]]*40</f>
        <v>1.3656872782800002</v>
      </c>
      <c r="Q151" s="203"/>
      <c r="R151" s="173"/>
      <c r="S151" s="167"/>
      <c r="T151" s="173"/>
      <c r="U151" s="2"/>
      <c r="V151" s="2"/>
      <c r="Y151" s="2"/>
    </row>
    <row r="152" spans="1:25" ht="86">
      <c r="A152" s="167" t="s">
        <v>20</v>
      </c>
      <c r="B152" s="167" t="s">
        <v>397</v>
      </c>
      <c r="C152" s="167" t="s">
        <v>464</v>
      </c>
      <c r="D152" s="172">
        <f>8000000*'Dev Bank Share by Country'!$G$33</f>
        <v>253580.30358589551</v>
      </c>
      <c r="E152" s="173" t="s">
        <v>405</v>
      </c>
      <c r="F152" s="173" t="s">
        <v>406</v>
      </c>
      <c r="G152" s="262" t="s">
        <v>786</v>
      </c>
      <c r="H152" s="173" t="s">
        <v>65</v>
      </c>
      <c r="I152" s="180" t="s">
        <v>283</v>
      </c>
      <c r="J152" s="173" t="s">
        <v>26</v>
      </c>
      <c r="K152" s="241">
        <v>39234</v>
      </c>
      <c r="L152" s="173" t="s">
        <v>815</v>
      </c>
      <c r="M152" s="262" t="s">
        <v>806</v>
      </c>
      <c r="N152" s="256">
        <f>600/19</f>
        <v>31.578947368421051</v>
      </c>
      <c r="O152" s="461">
        <f>CompletedProjects[[#This Row],[Power Plant Size (MW) or Share]]*0.593*9057*211.9*10^(-9)</f>
        <v>3.5939138902105268E-2</v>
      </c>
      <c r="P152" s="337">
        <f>CompletedProjects[[#This Row],[Annual Emissions (MMTCO2)]]*40</f>
        <v>1.4375655560842107</v>
      </c>
      <c r="Q152" s="167"/>
      <c r="R152" s="167" t="s">
        <v>467</v>
      </c>
      <c r="S152" s="167" t="s">
        <v>633</v>
      </c>
      <c r="T152" s="167"/>
      <c r="U152" s="2"/>
      <c r="V152" s="2"/>
      <c r="Y152" s="2"/>
    </row>
    <row r="153" spans="1:25" ht="71.7">
      <c r="A153" s="167" t="s">
        <v>20</v>
      </c>
      <c r="B153" s="186" t="s">
        <v>519</v>
      </c>
      <c r="C153" s="186" t="s">
        <v>464</v>
      </c>
      <c r="D153" s="172">
        <f>902850000*'Dev Bank Share by Country'!$K$33</f>
        <v>47282254.5</v>
      </c>
      <c r="E153" s="173" t="s">
        <v>91</v>
      </c>
      <c r="F153" s="173" t="s">
        <v>536</v>
      </c>
      <c r="G153" s="262"/>
      <c r="H153" s="173" t="s">
        <v>63</v>
      </c>
      <c r="I153" s="180" t="s">
        <v>283</v>
      </c>
      <c r="J153" s="173" t="s">
        <v>26</v>
      </c>
      <c r="K153" s="241">
        <v>40168</v>
      </c>
      <c r="L153" s="173" t="s">
        <v>1323</v>
      </c>
      <c r="M153" s="262"/>
      <c r="N153" s="337"/>
      <c r="O153" s="461">
        <f>CompletedProjects[[#This Row],[Power Plant Size (MW) or Share]]*0.593*9057*211.9*10^(-9)</f>
        <v>0</v>
      </c>
      <c r="P153" s="337">
        <f>CompletedProjects[[#This Row],[Annual Emissions (MMTCO2)]]*40</f>
        <v>0</v>
      </c>
      <c r="Q153" s="176"/>
      <c r="R153" s="178" t="s">
        <v>537</v>
      </c>
      <c r="S153" s="167"/>
      <c r="T153" s="178"/>
      <c r="U153" s="2"/>
      <c r="V153" s="2"/>
      <c r="Y153" s="2"/>
    </row>
    <row r="154" spans="1:25" ht="114.7">
      <c r="A154" s="167" t="s">
        <v>20</v>
      </c>
      <c r="B154" s="167" t="s">
        <v>397</v>
      </c>
      <c r="C154" s="167" t="s">
        <v>464</v>
      </c>
      <c r="D154" s="172">
        <f>275000000*'Dev Bank Share by Country'!$G$33</f>
        <v>8716822.9357651584</v>
      </c>
      <c r="E154" s="173" t="s">
        <v>413</v>
      </c>
      <c r="F154" s="173" t="s">
        <v>413</v>
      </c>
      <c r="G154" s="262" t="s">
        <v>766</v>
      </c>
      <c r="H154" s="173" t="s">
        <v>95</v>
      </c>
      <c r="I154" s="180" t="s">
        <v>283</v>
      </c>
      <c r="J154" s="173" t="s">
        <v>277</v>
      </c>
      <c r="K154" s="241">
        <v>39394</v>
      </c>
      <c r="L154" s="173" t="s">
        <v>917</v>
      </c>
      <c r="M154" s="262"/>
      <c r="N154" s="256">
        <f>600/19</f>
        <v>31.578947368421051</v>
      </c>
      <c r="O154" s="461">
        <f>CompletedProjects[[#This Row],[Power Plant Size (MW) or Share]]*0.593*9057*211.9*10^(-9)</f>
        <v>3.5939138902105268E-2</v>
      </c>
      <c r="P154" s="337">
        <f>CompletedProjects[[#This Row],[Annual Emissions (MMTCO2)]]*40</f>
        <v>1.4375655560842107</v>
      </c>
      <c r="Q154" s="167"/>
      <c r="R154" s="167" t="s">
        <v>640</v>
      </c>
      <c r="S154" s="167" t="s">
        <v>465</v>
      </c>
      <c r="T154" s="167"/>
      <c r="U154" s="2"/>
      <c r="V154" s="2"/>
      <c r="Y154" s="2"/>
    </row>
    <row r="155" spans="1:25" ht="28.7">
      <c r="A155" s="173" t="s">
        <v>20</v>
      </c>
      <c r="B155" s="173" t="s">
        <v>509</v>
      </c>
      <c r="C155" s="173" t="s">
        <v>464</v>
      </c>
      <c r="D155" s="172">
        <v>1494.5091960406137</v>
      </c>
      <c r="E155" s="173" t="s">
        <v>429</v>
      </c>
      <c r="F155" s="173" t="s">
        <v>430</v>
      </c>
      <c r="G155" s="262" t="s">
        <v>928</v>
      </c>
      <c r="H155" s="173" t="s">
        <v>431</v>
      </c>
      <c r="I155" s="180" t="s">
        <v>283</v>
      </c>
      <c r="J155" s="173" t="s">
        <v>26</v>
      </c>
      <c r="K155" s="241">
        <v>40114</v>
      </c>
      <c r="L155" s="173"/>
      <c r="M155" s="262"/>
      <c r="N155" s="337">
        <f>600/15/2</f>
        <v>20</v>
      </c>
      <c r="O155" s="461">
        <f>CompletedProjects[[#This Row],[Power Plant Size (MW) or Share]]*0.593*9057*211.9*10^(-9)</f>
        <v>2.2761454637999997E-2</v>
      </c>
      <c r="P155" s="337">
        <f>CompletedProjects[[#This Row],[Annual Emissions (MMTCO2)]]*40</f>
        <v>0.91045818551999991</v>
      </c>
      <c r="Q155" s="176"/>
      <c r="R155" s="178" t="s">
        <v>467</v>
      </c>
      <c r="S155" s="167"/>
      <c r="T155" s="178"/>
      <c r="U155" s="2"/>
      <c r="V155" s="2"/>
      <c r="Y155" s="2"/>
    </row>
    <row r="156" spans="1:25" ht="100.35">
      <c r="A156" s="167" t="s">
        <v>20</v>
      </c>
      <c r="B156" s="167" t="s">
        <v>397</v>
      </c>
      <c r="C156" s="167" t="s">
        <v>464</v>
      </c>
      <c r="D156" s="172">
        <f>25000000*'Dev Bank Share by Country'!$G$33</f>
        <v>792438.44870592351</v>
      </c>
      <c r="E156" s="173" t="s">
        <v>398</v>
      </c>
      <c r="F156" s="173" t="s">
        <v>398</v>
      </c>
      <c r="G156" s="262" t="s">
        <v>787</v>
      </c>
      <c r="H156" s="173" t="s">
        <v>399</v>
      </c>
      <c r="I156" s="180" t="s">
        <v>283</v>
      </c>
      <c r="J156" s="173" t="s">
        <v>26</v>
      </c>
      <c r="K156" s="241">
        <v>39204</v>
      </c>
      <c r="L156" s="173" t="s">
        <v>915</v>
      </c>
      <c r="M156" s="262"/>
      <c r="N156" s="256">
        <f>30/20</f>
        <v>1.5</v>
      </c>
      <c r="O156" s="461">
        <f>CompletedProjects[[#This Row],[Power Plant Size (MW) or Share]]*0.593*9057*211.9*10^(-9)</f>
        <v>1.7071090978499999E-3</v>
      </c>
      <c r="P156" s="337">
        <f>CompletedProjects[[#This Row],[Annual Emissions (MMTCO2)]]*40</f>
        <v>6.8284363914000001E-2</v>
      </c>
      <c r="Q156" s="167"/>
      <c r="R156" s="167" t="s">
        <v>635</v>
      </c>
      <c r="S156" s="167" t="s">
        <v>465</v>
      </c>
      <c r="T156" s="167"/>
      <c r="U156" s="2"/>
      <c r="V156" s="2"/>
      <c r="Y156" s="2"/>
    </row>
    <row r="157" spans="1:25" ht="28.7">
      <c r="A157" s="167" t="s">
        <v>20</v>
      </c>
      <c r="B157" s="171" t="s">
        <v>509</v>
      </c>
      <c r="C157" s="171" t="s">
        <v>464</v>
      </c>
      <c r="D157" s="172">
        <v>100870828.72251266</v>
      </c>
      <c r="E157" s="173" t="s">
        <v>41</v>
      </c>
      <c r="F157" s="173" t="s">
        <v>468</v>
      </c>
      <c r="G157" s="262" t="s">
        <v>927</v>
      </c>
      <c r="H157" s="173" t="s">
        <v>25</v>
      </c>
      <c r="I157" s="180" t="s">
        <v>283</v>
      </c>
      <c r="J157" s="173" t="s">
        <v>26</v>
      </c>
      <c r="K157" s="241">
        <v>40142</v>
      </c>
      <c r="L157" s="173"/>
      <c r="M157" s="262"/>
      <c r="N157" s="337">
        <f>4800/15/2</f>
        <v>160</v>
      </c>
      <c r="O157" s="461">
        <f>CompletedProjects[[#This Row],[Power Plant Size (MW) or Share]]*0.593*9057*211.9*10^(-9)</f>
        <v>0.18209163710399998</v>
      </c>
      <c r="P157" s="337">
        <f>CompletedProjects[[#This Row],[Annual Emissions (MMTCO2)]]*40</f>
        <v>7.2836654841599993</v>
      </c>
      <c r="Q157" s="176"/>
      <c r="R157" s="178" t="s">
        <v>642</v>
      </c>
      <c r="S157" s="167"/>
      <c r="T157" s="178"/>
      <c r="U157" s="2"/>
      <c r="V157" s="2"/>
      <c r="Y157" s="2"/>
    </row>
    <row r="158" spans="1:25" ht="43">
      <c r="A158" s="181" t="s">
        <v>20</v>
      </c>
      <c r="B158" s="182" t="s">
        <v>509</v>
      </c>
      <c r="C158" s="182" t="s">
        <v>464</v>
      </c>
      <c r="D158" s="172">
        <v>3161381.2366259894</v>
      </c>
      <c r="E158" s="173" t="s">
        <v>469</v>
      </c>
      <c r="F158" s="173" t="s">
        <v>516</v>
      </c>
      <c r="G158" s="262" t="s">
        <v>929</v>
      </c>
      <c r="H158" s="173" t="s">
        <v>458</v>
      </c>
      <c r="I158" s="180" t="s">
        <v>283</v>
      </c>
      <c r="J158" s="173" t="s">
        <v>26</v>
      </c>
      <c r="K158" s="241">
        <v>40142</v>
      </c>
      <c r="L158" s="173"/>
      <c r="M158" s="262"/>
      <c r="N158" s="150">
        <f>125/15</f>
        <v>8.3333333333333339</v>
      </c>
      <c r="O158" s="461">
        <f>CompletedProjects[[#This Row],[Power Plant Size (MW) or Share]]*0.593*9057*211.9*10^(-9)</f>
        <v>9.4839394324999996E-3</v>
      </c>
      <c r="P158" s="337">
        <f>CompletedProjects[[#This Row],[Annual Emissions (MMTCO2)]]*40</f>
        <v>0.37935757729999997</v>
      </c>
      <c r="Q158" s="203"/>
      <c r="R158" s="167" t="s">
        <v>470</v>
      </c>
      <c r="S158" s="167"/>
      <c r="T158" s="167" t="s">
        <v>537</v>
      </c>
      <c r="U158" s="2"/>
      <c r="V158" s="2"/>
      <c r="Y158" s="2"/>
    </row>
    <row r="159" spans="1:25" ht="57.35">
      <c r="A159" s="181" t="s">
        <v>20</v>
      </c>
      <c r="B159" s="182" t="s">
        <v>519</v>
      </c>
      <c r="C159" s="182" t="s">
        <v>464</v>
      </c>
      <c r="D159" s="172">
        <f>450000000*'Dev Bank Share by Country'!$K$33</f>
        <v>23566500</v>
      </c>
      <c r="E159" s="183" t="s">
        <v>1395</v>
      </c>
      <c r="F159" s="183" t="s">
        <v>1393</v>
      </c>
      <c r="G159" s="262" t="s">
        <v>1394</v>
      </c>
      <c r="H159" s="183" t="s">
        <v>65</v>
      </c>
      <c r="I159" s="180" t="s">
        <v>283</v>
      </c>
      <c r="J159" s="183" t="s">
        <v>26</v>
      </c>
      <c r="K159" s="242">
        <v>39562</v>
      </c>
      <c r="L159" s="173" t="s">
        <v>525</v>
      </c>
      <c r="M159" s="262" t="s">
        <v>821</v>
      </c>
      <c r="N159" s="338">
        <f>4000/3/13</f>
        <v>102.56410256410255</v>
      </c>
      <c r="O159" s="461">
        <f>CompletedProjects[[#This Row],[Power Plant Size (MW) or Share]]*0.593*9057*211.9*10^(-9)</f>
        <v>0.11672540839999998</v>
      </c>
      <c r="P159" s="337">
        <f>CompletedProjects[[#This Row],[Annual Emissions (MMTCO2)]]*40</f>
        <v>4.6690163359999994</v>
      </c>
      <c r="Q159" s="176"/>
      <c r="R159" s="173" t="s">
        <v>1396</v>
      </c>
      <c r="S159" s="167"/>
      <c r="T159" s="173"/>
      <c r="U159" s="2"/>
      <c r="V159" s="2"/>
      <c r="Y159" s="2"/>
    </row>
    <row r="160" spans="1:25" ht="57.35">
      <c r="A160" s="167" t="s">
        <v>20</v>
      </c>
      <c r="B160" s="186" t="s">
        <v>519</v>
      </c>
      <c r="C160" s="186" t="s">
        <v>464</v>
      </c>
      <c r="D160" s="311"/>
      <c r="E160" s="173" t="s">
        <v>526</v>
      </c>
      <c r="F160" s="173" t="s">
        <v>527</v>
      </c>
      <c r="G160" s="174" t="s">
        <v>901</v>
      </c>
      <c r="H160" s="173" t="s">
        <v>95</v>
      </c>
      <c r="I160" s="180" t="s">
        <v>283</v>
      </c>
      <c r="J160" s="173" t="s">
        <v>277</v>
      </c>
      <c r="K160" s="241">
        <v>39601</v>
      </c>
      <c r="L160" s="172">
        <f>120000000*'Dev Bank Share by Country'!$K$33</f>
        <v>6284400</v>
      </c>
      <c r="M160" s="450"/>
      <c r="N160" s="337"/>
      <c r="O160" s="461">
        <f>CompletedProjects[[#This Row],[Power Plant Size (MW) or Share]]*0.593*9057*211.9*10^(-9)</f>
        <v>0</v>
      </c>
      <c r="P160" s="337">
        <f>CompletedProjects[[#This Row],[Annual Emissions (MMTCO2)]]*40</f>
        <v>0</v>
      </c>
      <c r="Q160" s="176"/>
      <c r="R160" s="178" t="s">
        <v>1321</v>
      </c>
      <c r="S160" s="167" t="s">
        <v>1688</v>
      </c>
      <c r="T160" s="178"/>
      <c r="U160" s="2"/>
      <c r="V160" s="2"/>
      <c r="Y160" s="2"/>
    </row>
    <row r="161" spans="1:25" ht="43">
      <c r="A161" s="181" t="s">
        <v>20</v>
      </c>
      <c r="B161" s="182" t="s">
        <v>559</v>
      </c>
      <c r="C161" s="182" t="s">
        <v>464</v>
      </c>
      <c r="D161" s="172">
        <v>1004237.8547722206</v>
      </c>
      <c r="E161" s="173" t="s">
        <v>588</v>
      </c>
      <c r="F161" s="173" t="s">
        <v>588</v>
      </c>
      <c r="G161" s="265" t="s">
        <v>793</v>
      </c>
      <c r="H161" s="173" t="s">
        <v>201</v>
      </c>
      <c r="I161" s="173" t="s">
        <v>40</v>
      </c>
      <c r="J161" s="173" t="s">
        <v>40</v>
      </c>
      <c r="K161" s="240">
        <v>39422</v>
      </c>
      <c r="L161" s="167" t="s">
        <v>905</v>
      </c>
      <c r="M161" s="262"/>
      <c r="N161" s="337"/>
      <c r="O161" s="461">
        <f>CompletedProjects[[#This Row],[Power Plant Size (MW) or Share]]*0.593*9057*211.9*10^(-9)</f>
        <v>0</v>
      </c>
      <c r="P161" s="337">
        <f>CompletedProjects[[#This Row],[Annual Emissions (MMTCO2)]]*40</f>
        <v>0</v>
      </c>
      <c r="Q161" s="176"/>
      <c r="R161" s="178" t="s">
        <v>537</v>
      </c>
      <c r="S161" s="167"/>
      <c r="T161" s="178"/>
      <c r="U161" s="2"/>
      <c r="V161" s="2"/>
      <c r="Y161" s="2"/>
    </row>
    <row r="162" spans="1:25" ht="172">
      <c r="A162" s="167" t="s">
        <v>20</v>
      </c>
      <c r="B162" s="167" t="s">
        <v>401</v>
      </c>
      <c r="C162" s="167" t="s">
        <v>464</v>
      </c>
      <c r="D162" s="172">
        <f>11250000*'Dev Bank Share by Country'!$E$33</f>
        <v>27277.152963277789</v>
      </c>
      <c r="E162" s="173" t="s">
        <v>270</v>
      </c>
      <c r="F162" s="173" t="s">
        <v>433</v>
      </c>
      <c r="G162" s="262" t="s">
        <v>767</v>
      </c>
      <c r="H162" s="173" t="s">
        <v>201</v>
      </c>
      <c r="I162" s="173" t="s">
        <v>40</v>
      </c>
      <c r="J162" s="173" t="s">
        <v>417</v>
      </c>
      <c r="K162" s="241">
        <v>40673</v>
      </c>
      <c r="L162" s="173" t="s">
        <v>828</v>
      </c>
      <c r="M162" s="273" t="s">
        <v>827</v>
      </c>
      <c r="N162" s="256"/>
      <c r="O162" s="461">
        <f>CompletedProjects[[#This Row],[Power Plant Size (MW) or Share]]*0.593*9057*211.9*10^(-9)</f>
        <v>0</v>
      </c>
      <c r="P162" s="337">
        <f>CompletedProjects[[#This Row],[Annual Emissions (MMTCO2)]]*40</f>
        <v>0</v>
      </c>
      <c r="Q162" s="167"/>
      <c r="R162" s="167" t="s">
        <v>400</v>
      </c>
      <c r="S162" s="167" t="s">
        <v>465</v>
      </c>
      <c r="T162" s="167"/>
      <c r="U162" s="2"/>
      <c r="V162" s="2"/>
      <c r="Y162" s="2"/>
    </row>
    <row r="163" spans="1:25" ht="71.7">
      <c r="A163" s="181" t="s">
        <v>20</v>
      </c>
      <c r="B163" s="182" t="s">
        <v>559</v>
      </c>
      <c r="C163" s="182" t="s">
        <v>464</v>
      </c>
      <c r="D163" s="172">
        <v>2729524.335861146</v>
      </c>
      <c r="E163" s="173" t="s">
        <v>591</v>
      </c>
      <c r="F163" s="173" t="s">
        <v>590</v>
      </c>
      <c r="G163" s="265" t="s">
        <v>794</v>
      </c>
      <c r="H163" s="173" t="s">
        <v>45</v>
      </c>
      <c r="I163" s="180" t="s">
        <v>283</v>
      </c>
      <c r="J163" s="173" t="s">
        <v>277</v>
      </c>
      <c r="K163" s="240">
        <v>39553</v>
      </c>
      <c r="L163" s="173" t="s">
        <v>906</v>
      </c>
      <c r="M163" s="262"/>
      <c r="N163" s="337"/>
      <c r="O163" s="461">
        <f>CompletedProjects[[#This Row],[Power Plant Size (MW) or Share]]*0.593*9057*211.9*10^(-9)</f>
        <v>0</v>
      </c>
      <c r="P163" s="337">
        <f>CompletedProjects[[#This Row],[Annual Emissions (MMTCO2)]]*40</f>
        <v>0</v>
      </c>
      <c r="Q163" s="176"/>
      <c r="R163" s="178"/>
      <c r="S163" s="167"/>
      <c r="T163" s="178"/>
      <c r="U163" s="2"/>
      <c r="V163" s="2"/>
      <c r="Y163" s="2"/>
    </row>
    <row r="164" spans="1:25" ht="143.35">
      <c r="A164" s="167" t="s">
        <v>20</v>
      </c>
      <c r="B164" s="171" t="s">
        <v>8</v>
      </c>
      <c r="C164" s="171" t="s">
        <v>336</v>
      </c>
      <c r="D164" s="172">
        <v>47669084.490000002</v>
      </c>
      <c r="E164" s="173" t="s">
        <v>9</v>
      </c>
      <c r="F164" s="173" t="s">
        <v>10</v>
      </c>
      <c r="G164" s="262" t="s">
        <v>694</v>
      </c>
      <c r="H164" s="173" t="s">
        <v>11</v>
      </c>
      <c r="I164" s="173" t="s">
        <v>284</v>
      </c>
      <c r="J164" s="173" t="s">
        <v>79</v>
      </c>
      <c r="K164" s="241">
        <v>40429</v>
      </c>
      <c r="L164" s="173" t="s">
        <v>867</v>
      </c>
      <c r="M164" s="262"/>
      <c r="N164" s="337"/>
      <c r="O164" s="461">
        <f>CompletedProjects[[#This Row],[Power Plant Size (MW) or Share]]*0.593*9057*211.9*10^(-9)</f>
        <v>0</v>
      </c>
      <c r="P164" s="337">
        <f>CompletedProjects[[#This Row],[Annual Emissions (MMTCO2)]]*40</f>
        <v>0</v>
      </c>
      <c r="Q164" s="176">
        <v>23</v>
      </c>
      <c r="R164" s="178"/>
      <c r="S164" s="167"/>
      <c r="T164" s="178"/>
      <c r="U164" s="2"/>
      <c r="V164" s="2"/>
      <c r="Y164" s="2"/>
    </row>
    <row r="165" spans="1:25" s="82" customFormat="1" ht="43">
      <c r="A165" s="181" t="s">
        <v>20</v>
      </c>
      <c r="B165" s="182" t="s">
        <v>559</v>
      </c>
      <c r="C165" s="182" t="s">
        <v>464</v>
      </c>
      <c r="D165" s="172"/>
      <c r="E165" s="173" t="s">
        <v>611</v>
      </c>
      <c r="F165" s="173" t="s">
        <v>612</v>
      </c>
      <c r="G165" s="262" t="s">
        <v>804</v>
      </c>
      <c r="H165" s="173" t="s">
        <v>613</v>
      </c>
      <c r="I165" s="180" t="s">
        <v>283</v>
      </c>
      <c r="J165" s="173" t="s">
        <v>277</v>
      </c>
      <c r="K165" s="240">
        <v>39814</v>
      </c>
      <c r="L165" s="197"/>
      <c r="M165" s="262"/>
      <c r="N165" s="337"/>
      <c r="O165" s="461">
        <f>CompletedProjects[[#This Row],[Power Plant Size (MW) or Share]]*0.593*9057*211.9*10^(-9)</f>
        <v>0</v>
      </c>
      <c r="P165" s="337">
        <f>CompletedProjects[[#This Row],[Annual Emissions (MMTCO2)]]*40</f>
        <v>0</v>
      </c>
      <c r="Q165" s="176"/>
      <c r="R165" s="173" t="s">
        <v>914</v>
      </c>
      <c r="S165" s="167" t="s">
        <v>1688</v>
      </c>
      <c r="T165" s="173"/>
    </row>
    <row r="166" spans="1:25" s="82" customFormat="1" ht="71.7">
      <c r="A166" s="181" t="s">
        <v>20</v>
      </c>
      <c r="B166" s="182" t="s">
        <v>559</v>
      </c>
      <c r="C166" s="182" t="s">
        <v>464</v>
      </c>
      <c r="D166" s="172">
        <v>1857152.1971815038</v>
      </c>
      <c r="E166" s="173" t="s">
        <v>604</v>
      </c>
      <c r="F166" s="173" t="s">
        <v>605</v>
      </c>
      <c r="G166" s="262" t="s">
        <v>802</v>
      </c>
      <c r="H166" s="173" t="s">
        <v>493</v>
      </c>
      <c r="I166" s="180" t="s">
        <v>283</v>
      </c>
      <c r="J166" s="173" t="s">
        <v>277</v>
      </c>
      <c r="K166" s="240">
        <v>40589</v>
      </c>
      <c r="L166" s="173" t="s">
        <v>1693</v>
      </c>
      <c r="M166" s="262"/>
      <c r="N166" s="337">
        <f>154/12</f>
        <v>12.833333333333334</v>
      </c>
      <c r="O166" s="461">
        <f>CompletedProjects[[#This Row],[Power Plant Size (MW) or Share]]*0.593*9057*211.9*10^(-9)</f>
        <v>1.460526672605E-2</v>
      </c>
      <c r="P166" s="337">
        <f>CompletedProjects[[#This Row],[Annual Emissions (MMTCO2)]]*40</f>
        <v>0.58421066904200003</v>
      </c>
      <c r="Q166" s="176"/>
      <c r="R166" s="178" t="s">
        <v>537</v>
      </c>
      <c r="S166" s="167"/>
      <c r="T166" s="178"/>
    </row>
    <row r="167" spans="1:25" ht="43">
      <c r="A167" s="181" t="s">
        <v>20</v>
      </c>
      <c r="B167" s="171" t="s">
        <v>559</v>
      </c>
      <c r="C167" s="171" t="s">
        <v>464</v>
      </c>
      <c r="D167" s="172">
        <v>1180873.6637485947</v>
      </c>
      <c r="E167" s="173" t="s">
        <v>587</v>
      </c>
      <c r="F167" s="173" t="s">
        <v>587</v>
      </c>
      <c r="G167" s="262" t="s">
        <v>792</v>
      </c>
      <c r="H167" s="173" t="s">
        <v>39</v>
      </c>
      <c r="I167" s="180" t="s">
        <v>283</v>
      </c>
      <c r="J167" s="173" t="s">
        <v>277</v>
      </c>
      <c r="K167" s="240">
        <v>39415</v>
      </c>
      <c r="L167" s="167" t="s">
        <v>904</v>
      </c>
      <c r="M167" s="262"/>
      <c r="N167" s="338">
        <f>550/12</f>
        <v>45.833333333333336</v>
      </c>
      <c r="O167" s="461">
        <f>CompletedProjects[[#This Row],[Power Plant Size (MW) or Share]]*0.593*9057*211.9*10^(-9)</f>
        <v>5.2161666878750006E-2</v>
      </c>
      <c r="P167" s="337">
        <f>CompletedProjects[[#This Row],[Annual Emissions (MMTCO2)]]*40</f>
        <v>2.0864666751500001</v>
      </c>
      <c r="Q167" s="169"/>
      <c r="R167" s="178" t="s">
        <v>537</v>
      </c>
      <c r="S167" s="181"/>
      <c r="T167" s="178"/>
      <c r="U167" s="2"/>
      <c r="V167" s="2"/>
      <c r="Y167" s="2"/>
    </row>
    <row r="168" spans="1:25" ht="86">
      <c r="A168" s="167" t="s">
        <v>20</v>
      </c>
      <c r="B168" s="171" t="s">
        <v>8</v>
      </c>
      <c r="C168" s="171" t="s">
        <v>336</v>
      </c>
      <c r="D168" s="172">
        <v>108530915.50999999</v>
      </c>
      <c r="E168" s="173" t="s">
        <v>9</v>
      </c>
      <c r="F168" s="173" t="s">
        <v>10</v>
      </c>
      <c r="G168" s="262" t="s">
        <v>694</v>
      </c>
      <c r="H168" s="173" t="s">
        <v>11</v>
      </c>
      <c r="I168" s="173" t="s">
        <v>284</v>
      </c>
      <c r="J168" s="173" t="s">
        <v>79</v>
      </c>
      <c r="K168" s="240">
        <v>40756</v>
      </c>
      <c r="L168" s="173" t="s">
        <v>1329</v>
      </c>
      <c r="M168" s="262"/>
      <c r="N168" s="337"/>
      <c r="O168" s="461">
        <f>CompletedProjects[[#This Row],[Power Plant Size (MW) or Share]]*0.593*9057*211.9*10^(-9)</f>
        <v>0</v>
      </c>
      <c r="P168" s="337">
        <f>CompletedProjects[[#This Row],[Annual Emissions (MMTCO2)]]*40</f>
        <v>0</v>
      </c>
      <c r="Q168" s="176">
        <v>0</v>
      </c>
      <c r="R168" s="178"/>
      <c r="S168" s="167"/>
      <c r="T168" s="178"/>
      <c r="U168" s="2"/>
      <c r="V168" s="2"/>
      <c r="Y168" s="2"/>
    </row>
    <row r="169" spans="1:25" ht="43">
      <c r="A169" s="167" t="s">
        <v>20</v>
      </c>
      <c r="B169" s="171" t="s">
        <v>8</v>
      </c>
      <c r="C169" s="171" t="s">
        <v>336</v>
      </c>
      <c r="D169" s="172">
        <v>50000000</v>
      </c>
      <c r="E169" s="173" t="s">
        <v>13</v>
      </c>
      <c r="F169" s="173" t="s">
        <v>14</v>
      </c>
      <c r="G169" s="262" t="s">
        <v>695</v>
      </c>
      <c r="H169" s="173" t="s">
        <v>11</v>
      </c>
      <c r="I169" s="173" t="s">
        <v>284</v>
      </c>
      <c r="J169" s="173" t="s">
        <v>79</v>
      </c>
      <c r="K169" s="240">
        <v>40795</v>
      </c>
      <c r="L169" s="173" t="s">
        <v>869</v>
      </c>
      <c r="M169" s="262" t="s">
        <v>868</v>
      </c>
      <c r="N169" s="337"/>
      <c r="O169" s="461">
        <f>CompletedProjects[[#This Row],[Power Plant Size (MW) or Share]]*0.593*9057*211.9*10^(-9)</f>
        <v>0</v>
      </c>
      <c r="P169" s="337">
        <f>CompletedProjects[[#This Row],[Annual Emissions (MMTCO2)]]*40</f>
        <v>0</v>
      </c>
      <c r="Q169" s="176">
        <v>27</v>
      </c>
      <c r="R169" s="178"/>
      <c r="S169" s="167"/>
      <c r="T169" s="178"/>
      <c r="U169" s="2"/>
      <c r="V169" s="2"/>
      <c r="Y169" s="2"/>
    </row>
    <row r="170" spans="1:25" ht="57.35">
      <c r="A170" s="181" t="s">
        <v>20</v>
      </c>
      <c r="B170" s="171" t="s">
        <v>445</v>
      </c>
      <c r="C170" s="171" t="s">
        <v>464</v>
      </c>
      <c r="D170" s="172">
        <f>450000000*'Dev Bank Share by Country'!$G$33</f>
        <v>14263892.076706622</v>
      </c>
      <c r="E170" s="183" t="s">
        <v>1395</v>
      </c>
      <c r="F170" s="183" t="s">
        <v>1393</v>
      </c>
      <c r="G170" s="267" t="s">
        <v>1394</v>
      </c>
      <c r="H170" s="183" t="s">
        <v>65</v>
      </c>
      <c r="I170" s="180" t="s">
        <v>283</v>
      </c>
      <c r="J170" s="183" t="s">
        <v>26</v>
      </c>
      <c r="K170" s="242">
        <v>39562</v>
      </c>
      <c r="L170" s="183" t="s">
        <v>1396</v>
      </c>
      <c r="M170" s="262" t="s">
        <v>768</v>
      </c>
      <c r="N170" s="338">
        <f>4000/3/20</f>
        <v>66.666666666666657</v>
      </c>
      <c r="O170" s="461">
        <f>CompletedProjects[[#This Row],[Power Plant Size (MW) or Share]]*0.593*9057*211.9*10^(-9)</f>
        <v>7.5871515459999983E-2</v>
      </c>
      <c r="P170" s="337">
        <f>CompletedProjects[[#This Row],[Annual Emissions (MMTCO2)]]*40</f>
        <v>3.0348606183999993</v>
      </c>
      <c r="Q170" s="169"/>
      <c r="R170" s="185"/>
      <c r="S170" s="181"/>
      <c r="T170" s="185"/>
      <c r="U170" s="2"/>
      <c r="V170" s="2"/>
      <c r="Y170" s="2"/>
    </row>
    <row r="171" spans="1:25" ht="86">
      <c r="A171" s="167" t="s">
        <v>20</v>
      </c>
      <c r="B171" s="186" t="s">
        <v>519</v>
      </c>
      <c r="C171" s="186" t="s">
        <v>464</v>
      </c>
      <c r="D171" s="172">
        <f>200000*'Dev Bank Share by Country'!$K$33</f>
        <v>10474</v>
      </c>
      <c r="E171" s="173" t="s">
        <v>528</v>
      </c>
      <c r="F171" s="173" t="s">
        <v>529</v>
      </c>
      <c r="G171" s="262"/>
      <c r="H171" s="173" t="s">
        <v>239</v>
      </c>
      <c r="I171" s="180" t="s">
        <v>283</v>
      </c>
      <c r="J171" s="173" t="s">
        <v>26</v>
      </c>
      <c r="K171" s="241">
        <v>39729</v>
      </c>
      <c r="L171" s="183" t="s">
        <v>1709</v>
      </c>
      <c r="M171" s="262"/>
      <c r="N171" s="337"/>
      <c r="O171" s="461">
        <f>CompletedProjects[[#This Row],[Power Plant Size (MW) or Share]]*0.593*9057*211.9*10^(-9)</f>
        <v>0</v>
      </c>
      <c r="P171" s="337">
        <f>CompletedProjects[[#This Row],[Annual Emissions (MMTCO2)]]*40</f>
        <v>0</v>
      </c>
      <c r="Q171" s="176"/>
      <c r="R171" s="178" t="s">
        <v>1318</v>
      </c>
      <c r="S171" s="167"/>
      <c r="T171" s="178"/>
      <c r="U171" s="2"/>
      <c r="V171" s="2"/>
      <c r="Y171" s="2"/>
    </row>
    <row r="172" spans="1:25" ht="43">
      <c r="A172" s="181" t="s">
        <v>20</v>
      </c>
      <c r="B172" s="182" t="s">
        <v>559</v>
      </c>
      <c r="C172" s="182" t="s">
        <v>464</v>
      </c>
      <c r="D172" s="172">
        <v>4436530.2488224814</v>
      </c>
      <c r="E172" s="173" t="s">
        <v>600</v>
      </c>
      <c r="F172" s="173" t="s">
        <v>601</v>
      </c>
      <c r="G172" s="262" t="s">
        <v>800</v>
      </c>
      <c r="H172" s="173" t="s">
        <v>481</v>
      </c>
      <c r="I172" s="180" t="s">
        <v>283</v>
      </c>
      <c r="J172" s="173" t="s">
        <v>277</v>
      </c>
      <c r="K172" s="240">
        <v>40544</v>
      </c>
      <c r="L172" s="173" t="s">
        <v>909</v>
      </c>
      <c r="M172" s="267"/>
      <c r="N172" s="338">
        <f>600/12</f>
        <v>50</v>
      </c>
      <c r="O172" s="461">
        <f>CompletedProjects[[#This Row],[Power Plant Size (MW) or Share]]*0.593*9057*211.9*10^(-9)</f>
        <v>5.6903636595000001E-2</v>
      </c>
      <c r="P172" s="337">
        <f>CompletedProjects[[#This Row],[Annual Emissions (MMTCO2)]]*40</f>
        <v>2.2761454637999998</v>
      </c>
      <c r="Q172" s="169"/>
      <c r="R172" s="185"/>
      <c r="S172" s="167"/>
      <c r="T172" s="185"/>
      <c r="U172" s="2"/>
      <c r="V172" s="2"/>
      <c r="Y172" s="2"/>
    </row>
    <row r="173" spans="1:25" ht="57.35">
      <c r="A173" s="167" t="s">
        <v>20</v>
      </c>
      <c r="B173" s="171" t="s">
        <v>8</v>
      </c>
      <c r="C173" s="171" t="s">
        <v>336</v>
      </c>
      <c r="D173" s="172"/>
      <c r="E173" s="173" t="s">
        <v>15</v>
      </c>
      <c r="F173" s="173" t="s">
        <v>16</v>
      </c>
      <c r="G173" s="262" t="s">
        <v>685</v>
      </c>
      <c r="H173" s="173" t="s">
        <v>11</v>
      </c>
      <c r="I173" s="173" t="s">
        <v>284</v>
      </c>
      <c r="J173" s="173" t="s">
        <v>1498</v>
      </c>
      <c r="K173" s="240">
        <v>41052</v>
      </c>
      <c r="L173" s="173" t="s">
        <v>853</v>
      </c>
      <c r="M173" s="262" t="s">
        <v>854</v>
      </c>
      <c r="N173" s="337"/>
      <c r="O173" s="461">
        <f>CompletedProjects[[#This Row],[Power Plant Size (MW) or Share]]*0.593*9057*211.9*10^(-9)</f>
        <v>0</v>
      </c>
      <c r="P173" s="337">
        <f>CompletedProjects[[#This Row],[Annual Emissions (MMTCO2)]]*40</f>
        <v>0</v>
      </c>
      <c r="Q173" s="176"/>
      <c r="R173" s="178"/>
      <c r="S173" s="167"/>
      <c r="T173" s="178"/>
      <c r="U173" s="2"/>
      <c r="V173" s="2"/>
      <c r="Y173" s="2"/>
    </row>
    <row r="174" spans="1:25" ht="186.35">
      <c r="A174" s="167" t="s">
        <v>20</v>
      </c>
      <c r="B174" s="171" t="s">
        <v>8</v>
      </c>
      <c r="C174" s="171" t="s">
        <v>336</v>
      </c>
      <c r="D174" s="172">
        <v>100000000</v>
      </c>
      <c r="E174" s="173" t="s">
        <v>17</v>
      </c>
      <c r="F174" s="173" t="s">
        <v>18</v>
      </c>
      <c r="G174" s="262" t="s">
        <v>679</v>
      </c>
      <c r="H174" s="173" t="s">
        <v>19</v>
      </c>
      <c r="I174" s="173" t="s">
        <v>284</v>
      </c>
      <c r="J174" s="173" t="s">
        <v>1498</v>
      </c>
      <c r="K174" s="240">
        <v>41237</v>
      </c>
      <c r="L174" s="173" t="s">
        <v>846</v>
      </c>
      <c r="M174" s="262" t="s">
        <v>847</v>
      </c>
      <c r="N174" s="337">
        <v>900</v>
      </c>
      <c r="O174" s="461">
        <f>CompletedProjects[[#This Row],[Power Plant Size (MW) or Share]]*0.593*9057*211.9*10^(-9)</f>
        <v>1.02426545871</v>
      </c>
      <c r="P174" s="337">
        <f>CompletedProjects[[#This Row],[Annual Emissions (MMTCO2)]]*40</f>
        <v>40.970618348399995</v>
      </c>
      <c r="Q174" s="176"/>
      <c r="R174" s="178"/>
      <c r="S174" s="167"/>
      <c r="T174" s="178"/>
      <c r="U174" s="2"/>
      <c r="V174" s="2"/>
      <c r="Y174" s="2"/>
    </row>
    <row r="175" spans="1:25" ht="129">
      <c r="A175" s="167" t="s">
        <v>20</v>
      </c>
      <c r="B175" s="167" t="s">
        <v>401</v>
      </c>
      <c r="C175" s="167" t="s">
        <v>464</v>
      </c>
      <c r="D175" s="172">
        <f>21000000*'Dev Bank Share by Country'!$E$33</f>
        <v>50917.35219811854</v>
      </c>
      <c r="E175" s="173" t="s">
        <v>434</v>
      </c>
      <c r="F175" s="173" t="s">
        <v>435</v>
      </c>
      <c r="G175" s="262" t="s">
        <v>789</v>
      </c>
      <c r="H175" s="173" t="s">
        <v>436</v>
      </c>
      <c r="I175" s="173" t="s">
        <v>284</v>
      </c>
      <c r="J175" s="173" t="s">
        <v>1498</v>
      </c>
      <c r="K175" s="241">
        <v>40801</v>
      </c>
      <c r="L175" s="173" t="s">
        <v>829</v>
      </c>
      <c r="M175" s="273" t="s">
        <v>775</v>
      </c>
      <c r="N175" s="256"/>
      <c r="O175" s="461">
        <f>CompletedProjects[[#This Row],[Power Plant Size (MW) or Share]]*0.593*9057*211.9*10^(-9)</f>
        <v>0</v>
      </c>
      <c r="P175" s="337">
        <f>CompletedProjects[[#This Row],[Annual Emissions (MMTCO2)]]*40</f>
        <v>0</v>
      </c>
      <c r="Q175" s="167"/>
      <c r="R175" s="167" t="s">
        <v>400</v>
      </c>
      <c r="S175" s="167" t="s">
        <v>633</v>
      </c>
      <c r="T175" s="167"/>
      <c r="U175" s="2"/>
      <c r="V175" s="2"/>
      <c r="Y175" s="2"/>
    </row>
    <row r="176" spans="1:25" ht="57.35">
      <c r="A176" s="167" t="s">
        <v>20</v>
      </c>
      <c r="B176" s="167" t="s">
        <v>397</v>
      </c>
      <c r="C176" s="167" t="s">
        <v>464</v>
      </c>
      <c r="D176" s="172">
        <f>18000000*'Dev Bank Share by Country'!$G$33</f>
        <v>570555.68306826486</v>
      </c>
      <c r="E176" s="173" t="s">
        <v>407</v>
      </c>
      <c r="F176" s="173" t="s">
        <v>407</v>
      </c>
      <c r="G176" s="262" t="s">
        <v>776</v>
      </c>
      <c r="H176" s="173" t="s">
        <v>408</v>
      </c>
      <c r="I176" s="180" t="s">
        <v>283</v>
      </c>
      <c r="J176" s="173" t="s">
        <v>409</v>
      </c>
      <c r="K176" s="241">
        <v>39254</v>
      </c>
      <c r="L176" s="173" t="s">
        <v>816</v>
      </c>
      <c r="M176" s="262"/>
      <c r="N176" s="256">
        <f>60/19</f>
        <v>3.1578947368421053</v>
      </c>
      <c r="O176" s="461">
        <f>CompletedProjects[[#This Row],[Power Plant Size (MW) or Share]]*0.593*9057*211.9*10^(-9)</f>
        <v>3.5939138902105262E-3</v>
      </c>
      <c r="P176" s="337">
        <f>CompletedProjects[[#This Row],[Annual Emissions (MMTCO2)]]*40</f>
        <v>0.14375655560842104</v>
      </c>
      <c r="Q176" s="167"/>
      <c r="R176" s="167" t="s">
        <v>636</v>
      </c>
      <c r="S176" s="167" t="s">
        <v>633</v>
      </c>
      <c r="T176" s="167"/>
      <c r="U176" s="2"/>
      <c r="V176" s="2"/>
      <c r="Y176" s="2"/>
    </row>
    <row r="177" spans="1:25" ht="86">
      <c r="A177" s="167" t="s">
        <v>20</v>
      </c>
      <c r="B177" s="167" t="s">
        <v>401</v>
      </c>
      <c r="C177" s="167" t="s">
        <v>464</v>
      </c>
      <c r="D177" s="172">
        <f>7500000*'Dev Bank Share by Country'!$E$33</f>
        <v>18184.76864218519</v>
      </c>
      <c r="E177" s="173" t="s">
        <v>456</v>
      </c>
      <c r="F177" s="173" t="s">
        <v>457</v>
      </c>
      <c r="G177" s="262" t="s">
        <v>794</v>
      </c>
      <c r="H177" s="173" t="s">
        <v>458</v>
      </c>
      <c r="I177" s="180" t="s">
        <v>283</v>
      </c>
      <c r="J177" s="173" t="s">
        <v>26</v>
      </c>
      <c r="K177" s="241">
        <v>41627</v>
      </c>
      <c r="L177" s="173" t="s">
        <v>899</v>
      </c>
      <c r="M177" s="262"/>
      <c r="N177" s="256">
        <f>125/19</f>
        <v>6.5789473684210522</v>
      </c>
      <c r="O177" s="461">
        <f>CompletedProjects[[#This Row],[Power Plant Size (MW) or Share]]*0.593*9057*211.9*10^(-9)</f>
        <v>7.487320604605263E-3</v>
      </c>
      <c r="P177" s="337">
        <f>CompletedProjects[[#This Row],[Annual Emissions (MMTCO2)]]*40</f>
        <v>0.29949282418421053</v>
      </c>
      <c r="Q177" s="167"/>
      <c r="R177" s="167" t="s">
        <v>637</v>
      </c>
      <c r="S177" s="167" t="s">
        <v>633</v>
      </c>
      <c r="T177" s="167" t="s">
        <v>537</v>
      </c>
      <c r="U177" s="2"/>
      <c r="V177" s="2"/>
      <c r="Y177" s="2"/>
    </row>
    <row r="178" spans="1:25" ht="100.35">
      <c r="A178" s="167" t="s">
        <v>20</v>
      </c>
      <c r="B178" s="167" t="s">
        <v>397</v>
      </c>
      <c r="C178" s="167" t="s">
        <v>464</v>
      </c>
      <c r="D178" s="172">
        <f>146970000*'Dev Bank Share by Country'!$G$33</f>
        <v>4658587.1522523826</v>
      </c>
      <c r="E178" s="173" t="s">
        <v>459</v>
      </c>
      <c r="F178" s="173" t="s">
        <v>460</v>
      </c>
      <c r="G178" s="262" t="s">
        <v>784</v>
      </c>
      <c r="H178" s="173" t="s">
        <v>239</v>
      </c>
      <c r="I178" s="180" t="s">
        <v>283</v>
      </c>
      <c r="J178" s="173" t="s">
        <v>26</v>
      </c>
      <c r="K178" s="241">
        <v>41701</v>
      </c>
      <c r="L178" s="173" t="s">
        <v>900</v>
      </c>
      <c r="M178" s="262"/>
      <c r="N178" s="256"/>
      <c r="O178" s="461">
        <f>CompletedProjects[[#This Row],[Power Plant Size (MW) or Share]]*0.593*9057*211.9*10^(-9)</f>
        <v>0</v>
      </c>
      <c r="P178" s="337">
        <f>CompletedProjects[[#This Row],[Annual Emissions (MMTCO2)]]*40</f>
        <v>0</v>
      </c>
      <c r="Q178" s="167"/>
      <c r="R178" s="167" t="s">
        <v>400</v>
      </c>
      <c r="S178" s="167" t="s">
        <v>465</v>
      </c>
      <c r="T178" s="167"/>
      <c r="U178" s="2"/>
      <c r="V178" s="2"/>
      <c r="Y178" s="2"/>
    </row>
    <row r="179" spans="1:25" ht="28.7">
      <c r="A179" s="173" t="s">
        <v>20</v>
      </c>
      <c r="B179" s="173" t="s">
        <v>519</v>
      </c>
      <c r="C179" s="173" t="s">
        <v>464</v>
      </c>
      <c r="D179" s="172">
        <f>120000000*'Dev Bank Share by Country'!$K$33</f>
        <v>6284400</v>
      </c>
      <c r="E179" s="173" t="s">
        <v>533</v>
      </c>
      <c r="F179" s="173" t="s">
        <v>534</v>
      </c>
      <c r="G179" s="262"/>
      <c r="H179" s="173" t="s">
        <v>95</v>
      </c>
      <c r="I179" s="180" t="s">
        <v>283</v>
      </c>
      <c r="J179" s="173" t="s">
        <v>277</v>
      </c>
      <c r="K179" s="241">
        <v>40158</v>
      </c>
      <c r="L179" s="173" t="s">
        <v>535</v>
      </c>
      <c r="M179" s="262"/>
      <c r="N179" s="337">
        <f>200/13</f>
        <v>15.384615384615385</v>
      </c>
      <c r="O179" s="461">
        <f>CompletedProjects[[#This Row],[Power Plant Size (MW) or Share]]*0.593*9057*211.9*10^(-9)</f>
        <v>1.750881126E-2</v>
      </c>
      <c r="P179" s="337">
        <f>CompletedProjects[[#This Row],[Annual Emissions (MMTCO2)]]*40</f>
        <v>0.70035245040000005</v>
      </c>
      <c r="Q179" s="176"/>
      <c r="R179" s="178"/>
      <c r="S179" s="167"/>
      <c r="T179" s="178"/>
      <c r="U179" s="2"/>
      <c r="V179" s="2"/>
      <c r="Y179" s="2"/>
    </row>
    <row r="180" spans="1:25" ht="129">
      <c r="A180" s="167" t="s">
        <v>20</v>
      </c>
      <c r="B180" s="171" t="s">
        <v>509</v>
      </c>
      <c r="C180" s="171" t="s">
        <v>464</v>
      </c>
      <c r="D180" s="172">
        <v>7613199.8473834787</v>
      </c>
      <c r="E180" s="173" t="s">
        <v>556</v>
      </c>
      <c r="F180" s="173" t="s">
        <v>555</v>
      </c>
      <c r="G180" s="262"/>
      <c r="H180" s="173" t="s">
        <v>554</v>
      </c>
      <c r="I180" s="180" t="s">
        <v>283</v>
      </c>
      <c r="J180" s="173" t="s">
        <v>26</v>
      </c>
      <c r="K180" s="240">
        <v>42064</v>
      </c>
      <c r="L180" s="173" t="s">
        <v>857</v>
      </c>
      <c r="M180" s="262" t="s">
        <v>858</v>
      </c>
      <c r="N180" s="337"/>
      <c r="O180" s="461">
        <f>CompletedProjects[[#This Row],[Power Plant Size (MW) or Share]]*0.593*9057*211.9*10^(-9)</f>
        <v>0</v>
      </c>
      <c r="P180" s="337">
        <f>CompletedProjects[[#This Row],[Annual Emissions (MMTCO2)]]*40</f>
        <v>0</v>
      </c>
      <c r="Q180" s="176"/>
      <c r="R180" s="178" t="s">
        <v>537</v>
      </c>
      <c r="S180" s="167"/>
      <c r="T180" s="178"/>
      <c r="U180" s="2"/>
      <c r="V180" s="2"/>
      <c r="Y180" s="2"/>
    </row>
    <row r="181" spans="1:25" ht="43">
      <c r="A181" s="181" t="s">
        <v>20</v>
      </c>
      <c r="B181" s="182" t="s">
        <v>559</v>
      </c>
      <c r="C181" s="182" t="s">
        <v>464</v>
      </c>
      <c r="D181" s="172">
        <v>2827617.395330905</v>
      </c>
      <c r="E181" s="173" t="s">
        <v>595</v>
      </c>
      <c r="F181" s="173" t="s">
        <v>594</v>
      </c>
      <c r="G181" s="262" t="s">
        <v>796</v>
      </c>
      <c r="H181" s="173" t="s">
        <v>45</v>
      </c>
      <c r="I181" s="180" t="s">
        <v>283</v>
      </c>
      <c r="J181" s="173" t="s">
        <v>277</v>
      </c>
      <c r="K181" s="240">
        <v>40032</v>
      </c>
      <c r="L181" s="173"/>
      <c r="M181" s="262"/>
      <c r="N181" s="338">
        <f>185/12</f>
        <v>15.416666666666666</v>
      </c>
      <c r="O181" s="461">
        <f>CompletedProjects[[#This Row],[Power Plant Size (MW) or Share]]*0.593*9057*211.9*10^(-9)</f>
        <v>1.7545287950124999E-2</v>
      </c>
      <c r="P181" s="337">
        <f>CompletedProjects[[#This Row],[Annual Emissions (MMTCO2)]]*40</f>
        <v>0.70181151800499997</v>
      </c>
      <c r="Q181" s="169"/>
      <c r="R181" s="185"/>
      <c r="S181" s="181"/>
      <c r="T181" s="185"/>
      <c r="U181" s="2"/>
      <c r="V181" s="2"/>
      <c r="Y181" s="2"/>
    </row>
    <row r="182" spans="1:25" ht="215">
      <c r="A182" s="181" t="s">
        <v>20</v>
      </c>
      <c r="B182" s="182" t="s">
        <v>509</v>
      </c>
      <c r="C182" s="182" t="s">
        <v>464</v>
      </c>
      <c r="D182" s="172">
        <v>42824249.141532063</v>
      </c>
      <c r="E182" s="173" t="s">
        <v>41</v>
      </c>
      <c r="F182" s="173" t="s">
        <v>553</v>
      </c>
      <c r="G182" s="262" t="s">
        <v>788</v>
      </c>
      <c r="H182" s="173" t="s">
        <v>25</v>
      </c>
      <c r="I182" s="173" t="s">
        <v>284</v>
      </c>
      <c r="J182" s="173" t="s">
        <v>79</v>
      </c>
      <c r="K182" s="240">
        <v>42359</v>
      </c>
      <c r="L182" s="173" t="s">
        <v>1326</v>
      </c>
      <c r="M182" s="262" t="s">
        <v>861</v>
      </c>
      <c r="N182" s="337"/>
      <c r="O182" s="461">
        <f>CompletedProjects[[#This Row],[Power Plant Size (MW) or Share]]*0.593*9057*211.9*10^(-9)</f>
        <v>0</v>
      </c>
      <c r="P182" s="337">
        <f>CompletedProjects[[#This Row],[Annual Emissions (MMTCO2)]]*40</f>
        <v>0</v>
      </c>
      <c r="Q182" s="176"/>
      <c r="R182" s="178"/>
      <c r="S182" s="167"/>
      <c r="T182" s="178"/>
      <c r="U182" s="2"/>
      <c r="V182" s="2"/>
      <c r="Y182" s="2"/>
    </row>
    <row r="183" spans="1:25" ht="57.35">
      <c r="A183" s="181" t="s">
        <v>20</v>
      </c>
      <c r="B183" s="182" t="s">
        <v>559</v>
      </c>
      <c r="C183" s="182" t="s">
        <v>464</v>
      </c>
      <c r="D183" s="172">
        <v>3876272.8279865305</v>
      </c>
      <c r="E183" s="173" t="s">
        <v>592</v>
      </c>
      <c r="F183" s="173" t="s">
        <v>599</v>
      </c>
      <c r="G183" s="262" t="s">
        <v>799</v>
      </c>
      <c r="H183" s="173" t="s">
        <v>201</v>
      </c>
      <c r="I183" s="173" t="s">
        <v>40</v>
      </c>
      <c r="J183" s="173" t="s">
        <v>40</v>
      </c>
      <c r="K183" s="240">
        <v>40310</v>
      </c>
      <c r="L183" s="173" t="s">
        <v>1692</v>
      </c>
      <c r="M183" s="262" t="s">
        <v>908</v>
      </c>
      <c r="N183" s="337"/>
      <c r="O183" s="461">
        <f>CompletedProjects[[#This Row],[Power Plant Size (MW) or Share]]*0.593*9057*211.9*10^(-9)</f>
        <v>0</v>
      </c>
      <c r="P183" s="337">
        <f>CompletedProjects[[#This Row],[Annual Emissions (MMTCO2)]]*40</f>
        <v>0</v>
      </c>
      <c r="Q183" s="176">
        <v>0.3</v>
      </c>
      <c r="R183" s="178"/>
      <c r="S183" s="167"/>
      <c r="T183" s="178"/>
      <c r="U183" s="2"/>
      <c r="V183" s="2"/>
      <c r="Y183" s="2"/>
    </row>
    <row r="184" spans="1:25" ht="114.7">
      <c r="A184" s="167" t="s">
        <v>20</v>
      </c>
      <c r="B184" s="171" t="s">
        <v>559</v>
      </c>
      <c r="C184" s="171" t="s">
        <v>464</v>
      </c>
      <c r="D184" s="172">
        <v>3686791.0284788399</v>
      </c>
      <c r="E184" s="173" t="s">
        <v>606</v>
      </c>
      <c r="F184" s="173" t="s">
        <v>607</v>
      </c>
      <c r="G184" s="262" t="s">
        <v>730</v>
      </c>
      <c r="H184" s="173" t="s">
        <v>56</v>
      </c>
      <c r="I184" s="173" t="s">
        <v>40</v>
      </c>
      <c r="J184" s="173" t="s">
        <v>40</v>
      </c>
      <c r="K184" s="240">
        <v>40750</v>
      </c>
      <c r="L184" s="173" t="s">
        <v>1696</v>
      </c>
      <c r="M184" s="262" t="s">
        <v>912</v>
      </c>
      <c r="N184" s="337"/>
      <c r="O184" s="461">
        <f>CompletedProjects[[#This Row],[Power Plant Size (MW) or Share]]*0.593*9057*211.9*10^(-9)</f>
        <v>0</v>
      </c>
      <c r="P184" s="337">
        <f>CompletedProjects[[#This Row],[Annual Emissions (MMTCO2)]]*40</f>
        <v>0</v>
      </c>
      <c r="Q184" s="176"/>
      <c r="R184" s="178"/>
      <c r="S184" s="167"/>
      <c r="T184" s="178"/>
      <c r="U184" s="2"/>
      <c r="V184" s="2"/>
      <c r="Y184" s="2"/>
    </row>
    <row r="185" spans="1:25" ht="229.35">
      <c r="A185" s="167" t="s">
        <v>20</v>
      </c>
      <c r="B185" s="167" t="s">
        <v>414</v>
      </c>
      <c r="C185" s="167" t="s">
        <v>464</v>
      </c>
      <c r="D185" s="172">
        <f>1000000000*'Dev Bank Share by Country'!$C$33</f>
        <v>700000</v>
      </c>
      <c r="E185" s="173" t="s">
        <v>425</v>
      </c>
      <c r="F185" s="173" t="s">
        <v>427</v>
      </c>
      <c r="G185" s="262" t="s">
        <v>778</v>
      </c>
      <c r="H185" s="173" t="s">
        <v>65</v>
      </c>
      <c r="I185" s="173" t="s">
        <v>1507</v>
      </c>
      <c r="J185" s="173" t="s">
        <v>428</v>
      </c>
      <c r="K185" s="241">
        <v>40078</v>
      </c>
      <c r="L185" s="173" t="s">
        <v>824</v>
      </c>
      <c r="M185" s="262"/>
      <c r="N185" s="256"/>
      <c r="O185" s="461">
        <f>CompletedProjects[[#This Row],[Power Plant Size (MW) or Share]]*0.593*9057*211.9*10^(-9)</f>
        <v>0</v>
      </c>
      <c r="P185" s="337">
        <f>CompletedProjects[[#This Row],[Annual Emissions (MMTCO2)]]*40</f>
        <v>0</v>
      </c>
      <c r="Q185" s="167"/>
      <c r="R185" s="167" t="s">
        <v>400</v>
      </c>
      <c r="S185" s="167" t="s">
        <v>465</v>
      </c>
      <c r="T185" s="167"/>
      <c r="U185" s="2"/>
      <c r="V185" s="2"/>
      <c r="Y185" s="2"/>
    </row>
    <row r="186" spans="1:25" ht="100.35">
      <c r="A186" s="167" t="s">
        <v>20</v>
      </c>
      <c r="B186" s="167" t="s">
        <v>397</v>
      </c>
      <c r="C186" s="167" t="s">
        <v>464</v>
      </c>
      <c r="D186" s="172">
        <f>46500000*'Dev Bank Share by Country'!$G$33</f>
        <v>1473935.5145930175</v>
      </c>
      <c r="E186" s="173" t="s">
        <v>423</v>
      </c>
      <c r="F186" s="173" t="s">
        <v>424</v>
      </c>
      <c r="G186" s="262" t="s">
        <v>774</v>
      </c>
      <c r="H186" s="173" t="s">
        <v>65</v>
      </c>
      <c r="I186" s="173" t="s">
        <v>284</v>
      </c>
      <c r="J186" s="173" t="s">
        <v>79</v>
      </c>
      <c r="K186" s="241">
        <v>39898</v>
      </c>
      <c r="L186" s="173" t="s">
        <v>920</v>
      </c>
      <c r="M186" s="273"/>
      <c r="N186" s="256"/>
      <c r="O186" s="461">
        <f>CompletedProjects[[#This Row],[Power Plant Size (MW) or Share]]*0.593*9057*211.9*10^(-9)</f>
        <v>0</v>
      </c>
      <c r="P186" s="337">
        <f>CompletedProjects[[#This Row],[Annual Emissions (MMTCO2)]]*40</f>
        <v>0</v>
      </c>
      <c r="Q186" s="167"/>
      <c r="R186" s="167" t="s">
        <v>400</v>
      </c>
      <c r="S186" s="167" t="s">
        <v>465</v>
      </c>
      <c r="T186" s="167"/>
      <c r="U186" s="2"/>
      <c r="V186" s="2"/>
      <c r="Y186" s="2"/>
    </row>
    <row r="187" spans="1:25" ht="272.35000000000002">
      <c r="A187" s="167" t="s">
        <v>20</v>
      </c>
      <c r="B187" s="167" t="s">
        <v>463</v>
      </c>
      <c r="C187" s="167" t="s">
        <v>464</v>
      </c>
      <c r="D187" s="172">
        <f>29600000*'Dev Bank Share by Country'!$C$33</f>
        <v>20720</v>
      </c>
      <c r="E187" s="173" t="s">
        <v>266</v>
      </c>
      <c r="F187" s="173" t="s">
        <v>444</v>
      </c>
      <c r="G187" s="262" t="s">
        <v>781</v>
      </c>
      <c r="H187" s="173" t="s">
        <v>85</v>
      </c>
      <c r="I187" s="173" t="s">
        <v>284</v>
      </c>
      <c r="J187" s="173" t="s">
        <v>1498</v>
      </c>
      <c r="K187" s="241">
        <v>41163</v>
      </c>
      <c r="L187" s="173" t="s">
        <v>825</v>
      </c>
      <c r="M187" s="262"/>
      <c r="N187" s="256"/>
      <c r="O187" s="461">
        <f>CompletedProjects[[#This Row],[Power Plant Size (MW) or Share]]*0.593*9057*211.9*10^(-9)</f>
        <v>0</v>
      </c>
      <c r="P187" s="337">
        <f>CompletedProjects[[#This Row],[Annual Emissions (MMTCO2)]]*40</f>
        <v>0</v>
      </c>
      <c r="Q187" s="167"/>
      <c r="R187" s="167" t="s">
        <v>400</v>
      </c>
      <c r="S187" s="167" t="s">
        <v>465</v>
      </c>
      <c r="T187" s="167"/>
      <c r="U187" s="2"/>
      <c r="V187" s="2"/>
      <c r="Y187" s="2"/>
    </row>
    <row r="188" spans="1:25" ht="43">
      <c r="A188" s="181" t="s">
        <v>20</v>
      </c>
      <c r="B188" s="182" t="s">
        <v>559</v>
      </c>
      <c r="C188" s="182" t="s">
        <v>464</v>
      </c>
      <c r="D188" s="172">
        <v>542240.98102084897</v>
      </c>
      <c r="E188" s="173" t="s">
        <v>598</v>
      </c>
      <c r="F188" s="173" t="s">
        <v>598</v>
      </c>
      <c r="G188" s="262" t="s">
        <v>798</v>
      </c>
      <c r="H188" s="173" t="s">
        <v>201</v>
      </c>
      <c r="I188" s="173" t="s">
        <v>40</v>
      </c>
      <c r="J188" s="173" t="s">
        <v>40</v>
      </c>
      <c r="K188" s="240">
        <v>40199</v>
      </c>
      <c r="L188" s="269" t="s">
        <v>1691</v>
      </c>
      <c r="M188" s="262"/>
      <c r="N188" s="337"/>
      <c r="O188" s="461">
        <f>CompletedProjects[[#This Row],[Power Plant Size (MW) or Share]]*0.593*9057*211.9*10^(-9)</f>
        <v>0</v>
      </c>
      <c r="P188" s="337">
        <f>CompletedProjects[[#This Row],[Annual Emissions (MMTCO2)]]*40</f>
        <v>0</v>
      </c>
      <c r="Q188" s="176"/>
      <c r="R188" s="178"/>
      <c r="S188" s="167"/>
      <c r="T188" s="178"/>
      <c r="U188" s="2"/>
      <c r="V188" s="2"/>
      <c r="Y188" s="2"/>
    </row>
    <row r="189" spans="1:25" ht="157.69999999999999">
      <c r="A189" s="167" t="s">
        <v>20</v>
      </c>
      <c r="B189" s="167" t="s">
        <v>401</v>
      </c>
      <c r="C189" s="167" t="s">
        <v>464</v>
      </c>
      <c r="D189" s="172">
        <f>2000000*'Dev Bank Share by Country'!$E$33</f>
        <v>4849.2716379160511</v>
      </c>
      <c r="E189" s="173" t="s">
        <v>410</v>
      </c>
      <c r="F189" s="173" t="s">
        <v>411</v>
      </c>
      <c r="G189" s="262" t="s">
        <v>777</v>
      </c>
      <c r="H189" s="173" t="s">
        <v>412</v>
      </c>
      <c r="I189" s="173" t="s">
        <v>284</v>
      </c>
      <c r="J189" s="173" t="s">
        <v>1498</v>
      </c>
      <c r="K189" s="241">
        <v>39261</v>
      </c>
      <c r="L189" s="173" t="s">
        <v>916</v>
      </c>
      <c r="M189" s="262"/>
      <c r="N189" s="256"/>
      <c r="O189" s="461">
        <f>CompletedProjects[[#This Row],[Power Plant Size (MW) or Share]]*0.593*9057*211.9*10^(-9)</f>
        <v>0</v>
      </c>
      <c r="P189" s="337">
        <f>CompletedProjects[[#This Row],[Annual Emissions (MMTCO2)]]*40</f>
        <v>0</v>
      </c>
      <c r="Q189" s="167"/>
      <c r="R189" s="167" t="s">
        <v>400</v>
      </c>
      <c r="S189" s="167" t="s">
        <v>633</v>
      </c>
      <c r="T189" s="167"/>
      <c r="U189" s="2"/>
      <c r="V189" s="2"/>
      <c r="Y189" s="2"/>
    </row>
    <row r="190" spans="1:25" ht="43">
      <c r="A190" s="173" t="s">
        <v>20</v>
      </c>
      <c r="B190" s="173" t="s">
        <v>519</v>
      </c>
      <c r="C190" s="173" t="s">
        <v>464</v>
      </c>
      <c r="D190" s="172">
        <f>135000000*'Dev Bank Share by Country'!$K$33</f>
        <v>7069950</v>
      </c>
      <c r="E190" s="173" t="s">
        <v>531</v>
      </c>
      <c r="F190" s="173" t="s">
        <v>538</v>
      </c>
      <c r="G190" s="262"/>
      <c r="H190" s="173" t="s">
        <v>239</v>
      </c>
      <c r="I190" s="180" t="s">
        <v>283</v>
      </c>
      <c r="J190" s="173" t="s">
        <v>26</v>
      </c>
      <c r="K190" s="241">
        <v>40217</v>
      </c>
      <c r="L190" s="173" t="s">
        <v>539</v>
      </c>
      <c r="M190" s="262"/>
      <c r="N190" s="337">
        <f>250/13</f>
        <v>19.23076923076923</v>
      </c>
      <c r="O190" s="461">
        <f>CompletedProjects[[#This Row],[Power Plant Size (MW) or Share]]*0.593*9057*211.9*10^(-9)</f>
        <v>2.1886014075000002E-2</v>
      </c>
      <c r="P190" s="337">
        <f>CompletedProjects[[#This Row],[Annual Emissions (MMTCO2)]]*40</f>
        <v>0.87544056300000006</v>
      </c>
      <c r="Q190" s="176"/>
      <c r="R190" s="178" t="s">
        <v>540</v>
      </c>
      <c r="S190" s="167"/>
      <c r="T190" s="178"/>
      <c r="U190" s="2"/>
      <c r="V190" s="2"/>
      <c r="Y190" s="2"/>
    </row>
    <row r="191" spans="1:25" ht="114.7">
      <c r="A191" s="167" t="s">
        <v>20</v>
      </c>
      <c r="B191" s="167" t="s">
        <v>414</v>
      </c>
      <c r="C191" s="167" t="s">
        <v>464</v>
      </c>
      <c r="D191" s="172">
        <f>3040000000*'Dev Bank Share by Country'!$C$33</f>
        <v>2128000</v>
      </c>
      <c r="E191" s="173" t="s">
        <v>41</v>
      </c>
      <c r="F191" s="173" t="s">
        <v>432</v>
      </c>
      <c r="G191" s="262" t="s">
        <v>773</v>
      </c>
      <c r="H191" s="173" t="s">
        <v>25</v>
      </c>
      <c r="I191" s="180" t="s">
        <v>283</v>
      </c>
      <c r="J191" s="173" t="s">
        <v>26</v>
      </c>
      <c r="K191" s="241">
        <v>40276</v>
      </c>
      <c r="L191" s="173" t="s">
        <v>923</v>
      </c>
      <c r="M191" s="273"/>
      <c r="N191" s="337">
        <f>4800/19/2</f>
        <v>126.31578947368421</v>
      </c>
      <c r="O191" s="461">
        <f>CompletedProjects[[#This Row],[Power Plant Size (MW) or Share]]*0.593*9057*211.9*10^(-9)</f>
        <v>0.14375655560842107</v>
      </c>
      <c r="P191" s="337">
        <f>CompletedProjects[[#This Row],[Annual Emissions (MMTCO2)]]*40</f>
        <v>5.7502622243368426</v>
      </c>
      <c r="Q191" s="167"/>
      <c r="R191" s="178" t="s">
        <v>643</v>
      </c>
      <c r="S191" s="167" t="s">
        <v>465</v>
      </c>
      <c r="T191" s="178"/>
      <c r="U191" s="2"/>
      <c r="V191" s="2"/>
      <c r="Y191" s="2"/>
    </row>
    <row r="192" spans="1:25" customFormat="1" ht="43">
      <c r="A192" s="167" t="s">
        <v>20</v>
      </c>
      <c r="B192" s="171" t="s">
        <v>559</v>
      </c>
      <c r="C192" s="171" t="s">
        <v>464</v>
      </c>
      <c r="D192" s="172">
        <v>638760.61987910722</v>
      </c>
      <c r="E192" s="173" t="s">
        <v>592</v>
      </c>
      <c r="F192" s="173" t="s">
        <v>593</v>
      </c>
      <c r="G192" s="266" t="s">
        <v>795</v>
      </c>
      <c r="H192" s="173" t="s">
        <v>201</v>
      </c>
      <c r="I192" s="173" t="s">
        <v>40</v>
      </c>
      <c r="J192" s="173" t="s">
        <v>40</v>
      </c>
      <c r="K192" s="240">
        <v>39854</v>
      </c>
      <c r="L192" s="183" t="s">
        <v>1689</v>
      </c>
      <c r="M192" s="262"/>
      <c r="N192" s="337"/>
      <c r="O192" s="461">
        <f>CompletedProjects[[#This Row],[Power Plant Size (MW) or Share]]*0.593*9057*211.9*10^(-9)</f>
        <v>0</v>
      </c>
      <c r="P192" s="337">
        <f>CompletedProjects[[#This Row],[Annual Emissions (MMTCO2)]]*40</f>
        <v>0</v>
      </c>
      <c r="Q192" s="176"/>
      <c r="R192" s="173" t="s">
        <v>907</v>
      </c>
      <c r="S192" s="167"/>
      <c r="T192" s="173"/>
    </row>
    <row r="193" spans="1:25" ht="100.35">
      <c r="A193" s="167" t="s">
        <v>20</v>
      </c>
      <c r="B193" s="167" t="s">
        <v>414</v>
      </c>
      <c r="C193" s="167" t="s">
        <v>464</v>
      </c>
      <c r="D193" s="172">
        <f>379060000*'Dev Bank Share by Country'!$C$33</f>
        <v>265342</v>
      </c>
      <c r="E193" s="173" t="s">
        <v>429</v>
      </c>
      <c r="F193" s="173" t="s">
        <v>430</v>
      </c>
      <c r="G193" s="262" t="s">
        <v>779</v>
      </c>
      <c r="H193" s="173" t="s">
        <v>431</v>
      </c>
      <c r="I193" s="180" t="s">
        <v>283</v>
      </c>
      <c r="J193" s="173" t="s">
        <v>26</v>
      </c>
      <c r="K193" s="241">
        <v>40115</v>
      </c>
      <c r="L193" s="173" t="s">
        <v>922</v>
      </c>
      <c r="M193" s="262"/>
      <c r="N193" s="337">
        <f>600/19/2</f>
        <v>15.789473684210526</v>
      </c>
      <c r="O193" s="461">
        <f>CompletedProjects[[#This Row],[Power Plant Size (MW) or Share]]*0.593*9057*211.9*10^(-9)</f>
        <v>1.7969569451052634E-2</v>
      </c>
      <c r="P193" s="337">
        <f>CompletedProjects[[#This Row],[Annual Emissions (MMTCO2)]]*40</f>
        <v>0.71878277804210533</v>
      </c>
      <c r="Q193" s="167"/>
      <c r="R193" s="178" t="s">
        <v>640</v>
      </c>
      <c r="S193" s="167" t="s">
        <v>633</v>
      </c>
      <c r="T193" s="178"/>
      <c r="U193" s="2"/>
      <c r="V193" s="2"/>
      <c r="Y193" s="2"/>
    </row>
    <row r="194" spans="1:25" ht="172">
      <c r="A194" s="167" t="s">
        <v>20</v>
      </c>
      <c r="B194" s="167" t="s">
        <v>401</v>
      </c>
      <c r="C194" s="167" t="s">
        <v>464</v>
      </c>
      <c r="D194" s="172">
        <f>12100000*'Dev Bank Share by Country'!$E$33</f>
        <v>29338.09340939211</v>
      </c>
      <c r="E194" s="173" t="s">
        <v>451</v>
      </c>
      <c r="F194" s="173" t="s">
        <v>452</v>
      </c>
      <c r="G194" s="262" t="s">
        <v>793</v>
      </c>
      <c r="H194" s="173" t="s">
        <v>453</v>
      </c>
      <c r="I194" s="173" t="s">
        <v>284</v>
      </c>
      <c r="J194" s="173" t="s">
        <v>1498</v>
      </c>
      <c r="K194" s="241">
        <v>41471</v>
      </c>
      <c r="L194" s="173" t="s">
        <v>926</v>
      </c>
      <c r="M194" s="262" t="s">
        <v>898</v>
      </c>
      <c r="N194" s="256"/>
      <c r="O194" s="461">
        <f>CompletedProjects[[#This Row],[Power Plant Size (MW) or Share]]*0.593*9057*211.9*10^(-9)</f>
        <v>0</v>
      </c>
      <c r="P194" s="337">
        <f>CompletedProjects[[#This Row],[Annual Emissions (MMTCO2)]]*40</f>
        <v>0</v>
      </c>
      <c r="Q194" s="167"/>
      <c r="R194" s="167" t="s">
        <v>400</v>
      </c>
      <c r="S194" s="167" t="s">
        <v>633</v>
      </c>
      <c r="T194" s="167" t="s">
        <v>537</v>
      </c>
      <c r="U194" s="2"/>
      <c r="V194" s="2"/>
      <c r="Y194" s="2"/>
    </row>
    <row r="195" spans="1:25" ht="215">
      <c r="A195" s="167" t="s">
        <v>20</v>
      </c>
      <c r="B195" s="167" t="s">
        <v>445</v>
      </c>
      <c r="C195" s="167" t="s">
        <v>464</v>
      </c>
      <c r="D195" s="172">
        <f>28000000*'Dev Bank Share by Country'!G33</f>
        <v>887531.06255063426</v>
      </c>
      <c r="E195" s="173" t="s">
        <v>446</v>
      </c>
      <c r="F195" s="173" t="s">
        <v>447</v>
      </c>
      <c r="G195" s="262" t="s">
        <v>782</v>
      </c>
      <c r="H195" s="173" t="s">
        <v>201</v>
      </c>
      <c r="I195" s="173" t="s">
        <v>284</v>
      </c>
      <c r="J195" s="173" t="s">
        <v>1498</v>
      </c>
      <c r="K195" s="241">
        <v>41333</v>
      </c>
      <c r="L195" s="173" t="s">
        <v>832</v>
      </c>
      <c r="M195" s="262"/>
      <c r="N195" s="256">
        <f>750/19</f>
        <v>39.473684210526315</v>
      </c>
      <c r="O195" s="461">
        <f>CompletedProjects[[#This Row],[Power Plant Size (MW) or Share]]*0.593*9057*211.9*10^(-9)</f>
        <v>4.4923923627631576E-2</v>
      </c>
      <c r="P195" s="337">
        <f>CompletedProjects[[#This Row],[Annual Emissions (MMTCO2)]]*40</f>
        <v>1.7969569451052632</v>
      </c>
      <c r="Q195" s="167"/>
      <c r="R195" s="167" t="s">
        <v>639</v>
      </c>
      <c r="S195" s="167"/>
      <c r="T195" s="167"/>
      <c r="U195" s="2"/>
      <c r="V195" s="2"/>
      <c r="Y195" s="2"/>
    </row>
    <row r="196" spans="1:25" ht="86">
      <c r="A196" s="167" t="s">
        <v>20</v>
      </c>
      <c r="B196" s="167" t="s">
        <v>397</v>
      </c>
      <c r="C196" s="167" t="s">
        <v>464</v>
      </c>
      <c r="D196" s="172">
        <f>45500000*'Dev Bank Share by Country'!$G$33</f>
        <v>1442237.9766447807</v>
      </c>
      <c r="E196" s="173" t="s">
        <v>440</v>
      </c>
      <c r="F196" s="173" t="s">
        <v>441</v>
      </c>
      <c r="G196" s="262" t="s">
        <v>771</v>
      </c>
      <c r="H196" s="173" t="s">
        <v>442</v>
      </c>
      <c r="I196" s="173" t="s">
        <v>40</v>
      </c>
      <c r="J196" s="173" t="s">
        <v>443</v>
      </c>
      <c r="K196" s="241">
        <v>41060</v>
      </c>
      <c r="L196" s="173" t="s">
        <v>924</v>
      </c>
      <c r="M196" s="273"/>
      <c r="N196" s="256"/>
      <c r="O196" s="461">
        <f>CompletedProjects[[#This Row],[Power Plant Size (MW) or Share]]*0.593*9057*211.9*10^(-9)</f>
        <v>0</v>
      </c>
      <c r="P196" s="337">
        <f>CompletedProjects[[#This Row],[Annual Emissions (MMTCO2)]]*40</f>
        <v>0</v>
      </c>
      <c r="Q196" s="167"/>
      <c r="R196" s="167" t="s">
        <v>400</v>
      </c>
      <c r="S196" s="167" t="s">
        <v>465</v>
      </c>
      <c r="T196" s="167"/>
      <c r="U196" s="2"/>
      <c r="V196" s="2"/>
      <c r="Y196" s="2"/>
    </row>
    <row r="197" spans="1:25" ht="215">
      <c r="A197" s="167" t="s">
        <v>20</v>
      </c>
      <c r="B197" s="167" t="s">
        <v>401</v>
      </c>
      <c r="C197" s="167" t="s">
        <v>464</v>
      </c>
      <c r="D197" s="172">
        <f>200000000*'Dev Bank Share by Country'!$E$33</f>
        <v>484927.1637916051</v>
      </c>
      <c r="E197" s="173" t="s">
        <v>461</v>
      </c>
      <c r="F197" s="173" t="s">
        <v>462</v>
      </c>
      <c r="G197" s="262" t="s">
        <v>795</v>
      </c>
      <c r="H197" s="173" t="s">
        <v>442</v>
      </c>
      <c r="I197" s="173" t="s">
        <v>284</v>
      </c>
      <c r="J197" s="173" t="s">
        <v>1498</v>
      </c>
      <c r="K197" s="241">
        <v>41760</v>
      </c>
      <c r="L197" s="173" t="s">
        <v>831</v>
      </c>
      <c r="M197" s="262" t="s">
        <v>830</v>
      </c>
      <c r="N197" s="256"/>
      <c r="O197" s="461">
        <f>CompletedProjects[[#This Row],[Power Plant Size (MW) or Share]]*0.593*9057*211.9*10^(-9)</f>
        <v>0</v>
      </c>
      <c r="P197" s="337">
        <f>CompletedProjects[[#This Row],[Annual Emissions (MMTCO2)]]*40</f>
        <v>0</v>
      </c>
      <c r="Q197" s="167"/>
      <c r="R197" s="167" t="s">
        <v>400</v>
      </c>
      <c r="S197" s="167" t="s">
        <v>465</v>
      </c>
      <c r="T197" s="167"/>
      <c r="U197" s="2"/>
      <c r="V197" s="2"/>
      <c r="Y197" s="2"/>
    </row>
    <row r="198" spans="1:25" s="82" customFormat="1" ht="114.7">
      <c r="A198" s="167" t="s">
        <v>20</v>
      </c>
      <c r="B198" s="167" t="s">
        <v>401</v>
      </c>
      <c r="C198" s="167" t="s">
        <v>464</v>
      </c>
      <c r="D198" s="172">
        <f>280000*'Dev Bank Share by Country'!$E$33</f>
        <v>678.89802930824715</v>
      </c>
      <c r="E198" s="173" t="s">
        <v>437</v>
      </c>
      <c r="F198" s="173" t="s">
        <v>438</v>
      </c>
      <c r="G198" s="262" t="s">
        <v>790</v>
      </c>
      <c r="H198" s="173" t="s">
        <v>439</v>
      </c>
      <c r="I198" s="173" t="s">
        <v>284</v>
      </c>
      <c r="J198" s="173" t="s">
        <v>1498</v>
      </c>
      <c r="K198" s="241">
        <v>41039</v>
      </c>
      <c r="L198" s="173" t="s">
        <v>897</v>
      </c>
      <c r="M198" s="273" t="s">
        <v>780</v>
      </c>
      <c r="N198" s="256"/>
      <c r="O198" s="461">
        <f>CompletedProjects[[#This Row],[Power Plant Size (MW) or Share]]*0.593*9057*211.9*10^(-9)</f>
        <v>0</v>
      </c>
      <c r="P198" s="337">
        <f>CompletedProjects[[#This Row],[Annual Emissions (MMTCO2)]]*40</f>
        <v>0</v>
      </c>
      <c r="Q198" s="167"/>
      <c r="R198" s="167" t="s">
        <v>400</v>
      </c>
      <c r="S198" s="167" t="s">
        <v>465</v>
      </c>
      <c r="T198" s="167"/>
    </row>
    <row r="199" spans="1:25" ht="43">
      <c r="A199" s="181" t="s">
        <v>20</v>
      </c>
      <c r="B199" s="182" t="s">
        <v>559</v>
      </c>
      <c r="C199" s="182" t="s">
        <v>464</v>
      </c>
      <c r="D199" s="172">
        <v>1160720.1232384399</v>
      </c>
      <c r="E199" s="173" t="s">
        <v>608</v>
      </c>
      <c r="F199" s="173" t="s">
        <v>609</v>
      </c>
      <c r="G199" s="262" t="s">
        <v>803</v>
      </c>
      <c r="H199" s="173" t="s">
        <v>368</v>
      </c>
      <c r="I199" s="180" t="s">
        <v>284</v>
      </c>
      <c r="J199" s="180" t="s">
        <v>284</v>
      </c>
      <c r="K199" s="240">
        <v>40869</v>
      </c>
      <c r="L199" s="173" t="s">
        <v>1694</v>
      </c>
      <c r="M199" s="262"/>
      <c r="N199" s="337"/>
      <c r="O199" s="461">
        <f>CompletedProjects[[#This Row],[Power Plant Size (MW) or Share]]*0.593*9057*211.9*10^(-9)</f>
        <v>0</v>
      </c>
      <c r="P199" s="337">
        <f>CompletedProjects[[#This Row],[Annual Emissions (MMTCO2)]]*40</f>
        <v>0</v>
      </c>
      <c r="Q199" s="176"/>
      <c r="R199" s="178"/>
      <c r="S199" s="167"/>
      <c r="T199" s="178"/>
      <c r="U199" s="2"/>
      <c r="V199" s="2"/>
      <c r="Y199" s="2"/>
    </row>
    <row r="200" spans="1:25" ht="57.35">
      <c r="A200" s="167" t="s">
        <v>20</v>
      </c>
      <c r="B200" s="182" t="s">
        <v>559</v>
      </c>
      <c r="C200" s="182" t="s">
        <v>464</v>
      </c>
      <c r="D200" s="172">
        <v>976724.4888880502</v>
      </c>
      <c r="E200" s="173" t="s">
        <v>596</v>
      </c>
      <c r="F200" s="173" t="s">
        <v>597</v>
      </c>
      <c r="G200" s="262" t="s">
        <v>797</v>
      </c>
      <c r="H200" s="173" t="s">
        <v>493</v>
      </c>
      <c r="I200" s="180" t="s">
        <v>283</v>
      </c>
      <c r="J200" s="173" t="s">
        <v>277</v>
      </c>
      <c r="K200" s="240">
        <v>40052</v>
      </c>
      <c r="L200" s="269" t="s">
        <v>1690</v>
      </c>
      <c r="M200" s="262" t="s">
        <v>903</v>
      </c>
      <c r="N200" s="337"/>
      <c r="O200" s="461">
        <f>CompletedProjects[[#This Row],[Power Plant Size (MW) or Share]]*0.593*9057*211.9*10^(-9)</f>
        <v>0</v>
      </c>
      <c r="P200" s="337">
        <f>CompletedProjects[[#This Row],[Annual Emissions (MMTCO2)]]*40</f>
        <v>0</v>
      </c>
      <c r="Q200" s="176"/>
      <c r="R200" s="178"/>
      <c r="S200" s="167"/>
      <c r="T200" s="178"/>
      <c r="U200" s="2"/>
      <c r="V200" s="2"/>
      <c r="Y200" s="2"/>
    </row>
    <row r="201" spans="1:25" ht="172">
      <c r="A201" s="167" t="s">
        <v>20</v>
      </c>
      <c r="B201" s="167" t="s">
        <v>414</v>
      </c>
      <c r="C201" s="167" t="s">
        <v>464</v>
      </c>
      <c r="D201" s="172">
        <f>57000000*'Dev Bank Share by Country'!$C$33</f>
        <v>39900</v>
      </c>
      <c r="E201" s="173" t="s">
        <v>415</v>
      </c>
      <c r="F201" s="173" t="s">
        <v>416</v>
      </c>
      <c r="G201" s="262" t="s">
        <v>772</v>
      </c>
      <c r="H201" s="173" t="s">
        <v>368</v>
      </c>
      <c r="I201" s="173" t="s">
        <v>40</v>
      </c>
      <c r="J201" s="173" t="s">
        <v>417</v>
      </c>
      <c r="K201" s="241">
        <v>39436</v>
      </c>
      <c r="L201" s="173" t="s">
        <v>918</v>
      </c>
      <c r="M201" s="273" t="s">
        <v>895</v>
      </c>
      <c r="N201" s="256"/>
      <c r="O201" s="461">
        <f>CompletedProjects[[#This Row],[Power Plant Size (MW) or Share]]*0.593*9057*211.9*10^(-9)</f>
        <v>0</v>
      </c>
      <c r="P201" s="337">
        <f>CompletedProjects[[#This Row],[Annual Emissions (MMTCO2)]]*40</f>
        <v>0</v>
      </c>
      <c r="Q201" s="167"/>
      <c r="R201" s="167" t="s">
        <v>400</v>
      </c>
      <c r="S201" s="167" t="s">
        <v>633</v>
      </c>
      <c r="T201" s="167"/>
      <c r="U201" s="2"/>
      <c r="V201" s="2"/>
      <c r="Y201" s="2"/>
    </row>
    <row r="202" spans="1:25" ht="172">
      <c r="A202" s="167" t="s">
        <v>239</v>
      </c>
      <c r="B202" s="182" t="s">
        <v>511</v>
      </c>
      <c r="C202" s="182" t="s">
        <v>464</v>
      </c>
      <c r="D202" s="172">
        <f>500000000*'Dev Bank Share by Country'!$G$38</f>
        <v>12032610.173903521</v>
      </c>
      <c r="E202" s="183" t="s">
        <v>454</v>
      </c>
      <c r="F202" s="183" t="s">
        <v>514</v>
      </c>
      <c r="G202" s="262" t="s">
        <v>783</v>
      </c>
      <c r="H202" s="183" t="s">
        <v>515</v>
      </c>
      <c r="I202" s="180" t="s">
        <v>283</v>
      </c>
      <c r="J202" s="183" t="s">
        <v>26</v>
      </c>
      <c r="K202" s="242">
        <v>41760</v>
      </c>
      <c r="L202" s="183" t="s">
        <v>833</v>
      </c>
      <c r="M202" s="262"/>
      <c r="N202" s="337">
        <f>(270+450)/19</f>
        <v>37.89473684210526</v>
      </c>
      <c r="O202" s="461">
        <f>CompletedProjects[[#This Row],[Power Plant Size (MW) or Share]]*0.593*9057*211.9*10^(-9)</f>
        <v>4.3126966682526316E-2</v>
      </c>
      <c r="P202" s="337">
        <f>CompletedProjects[[#This Row],[Annual Emissions (MMTCO2)]]*40</f>
        <v>1.7250786673010525</v>
      </c>
      <c r="Q202" s="176"/>
      <c r="R202" s="178" t="s">
        <v>639</v>
      </c>
      <c r="S202" s="167" t="s">
        <v>465</v>
      </c>
      <c r="T202" s="178"/>
      <c r="U202" s="2"/>
      <c r="V202" s="2"/>
      <c r="Y202" s="2"/>
    </row>
    <row r="203" spans="1:25" ht="172">
      <c r="A203" s="167" t="s">
        <v>239</v>
      </c>
      <c r="B203" s="167" t="s">
        <v>401</v>
      </c>
      <c r="C203" s="182" t="s">
        <v>464</v>
      </c>
      <c r="D203" s="172">
        <f>1120000*'Dev Bank Share by Country'!$E$38</f>
        <v>23792.414921239626</v>
      </c>
      <c r="E203" s="173" t="s">
        <v>402</v>
      </c>
      <c r="F203" s="173" t="s">
        <v>403</v>
      </c>
      <c r="G203" s="262" t="s">
        <v>785</v>
      </c>
      <c r="H203" s="173" t="s">
        <v>404</v>
      </c>
      <c r="I203" s="173" t="s">
        <v>284</v>
      </c>
      <c r="J203" s="173" t="s">
        <v>1498</v>
      </c>
      <c r="K203" s="241">
        <v>39224</v>
      </c>
      <c r="L203" s="173" t="s">
        <v>826</v>
      </c>
      <c r="M203" s="262" t="s">
        <v>785</v>
      </c>
      <c r="N203" s="256"/>
      <c r="O203" s="461">
        <f>CompletedProjects[[#This Row],[Power Plant Size (MW) or Share]]*0.593*9057*211.9*10^(-9)</f>
        <v>0</v>
      </c>
      <c r="P203" s="337">
        <f>CompletedProjects[[#This Row],[Annual Emissions (MMTCO2)]]*40</f>
        <v>0</v>
      </c>
      <c r="Q203" s="167"/>
      <c r="R203" s="167" t="s">
        <v>400</v>
      </c>
      <c r="S203" s="167" t="s">
        <v>633</v>
      </c>
      <c r="T203" s="167" t="s">
        <v>537</v>
      </c>
      <c r="U203" s="2"/>
      <c r="V203" s="2"/>
      <c r="Y203" s="2"/>
    </row>
    <row r="204" spans="1:25" ht="172">
      <c r="A204" s="167" t="s">
        <v>239</v>
      </c>
      <c r="B204" s="167" t="s">
        <v>401</v>
      </c>
      <c r="C204" s="182" t="s">
        <v>464</v>
      </c>
      <c r="D204" s="172">
        <f>4200000*'Dev Bank Share by Country'!$E$38</f>
        <v>89221.555954648604</v>
      </c>
      <c r="E204" s="173" t="s">
        <v>448</v>
      </c>
      <c r="F204" s="173" t="s">
        <v>449</v>
      </c>
      <c r="G204" s="262" t="s">
        <v>792</v>
      </c>
      <c r="H204" s="173" t="s">
        <v>450</v>
      </c>
      <c r="I204" s="173" t="s">
        <v>40</v>
      </c>
      <c r="J204" s="173" t="s">
        <v>1502</v>
      </c>
      <c r="K204" s="241">
        <v>41404</v>
      </c>
      <c r="L204" s="173" t="s">
        <v>925</v>
      </c>
      <c r="M204" s="262"/>
      <c r="N204" s="256"/>
      <c r="O204" s="461">
        <f>CompletedProjects[[#This Row],[Power Plant Size (MW) or Share]]*0.593*9057*211.9*10^(-9)</f>
        <v>0</v>
      </c>
      <c r="P204" s="337">
        <f>CompletedProjects[[#This Row],[Annual Emissions (MMTCO2)]]*40</f>
        <v>0</v>
      </c>
      <c r="Q204" s="167"/>
      <c r="R204" s="167" t="s">
        <v>400</v>
      </c>
      <c r="S204" s="167" t="s">
        <v>465</v>
      </c>
      <c r="T204" s="167"/>
      <c r="U204" s="2"/>
      <c r="V204" s="2"/>
      <c r="Y204" s="2"/>
    </row>
    <row r="205" spans="1:25" ht="157.69999999999999">
      <c r="A205" s="167" t="s">
        <v>239</v>
      </c>
      <c r="B205" s="167" t="s">
        <v>513</v>
      </c>
      <c r="C205" s="182" t="s">
        <v>464</v>
      </c>
      <c r="D205" s="172">
        <f>180000000*'Dev Bank Share by Country'!$C$38</f>
        <v>9180000</v>
      </c>
      <c r="E205" s="173" t="s">
        <v>425</v>
      </c>
      <c r="F205" s="173" t="s">
        <v>426</v>
      </c>
      <c r="G205" s="262" t="s">
        <v>770</v>
      </c>
      <c r="H205" s="173" t="s">
        <v>65</v>
      </c>
      <c r="I205" s="180" t="s">
        <v>283</v>
      </c>
      <c r="J205" s="173" t="s">
        <v>277</v>
      </c>
      <c r="K205" s="241">
        <v>39982</v>
      </c>
      <c r="L205" s="173" t="s">
        <v>921</v>
      </c>
      <c r="M205" s="273"/>
      <c r="N205" s="256">
        <f>420/19</f>
        <v>22.105263157894736</v>
      </c>
      <c r="O205" s="461">
        <f>CompletedProjects[[#This Row],[Power Plant Size (MW) or Share]]*0.593*9057*211.9*10^(-9)</f>
        <v>2.5157397231473682E-2</v>
      </c>
      <c r="P205" s="337">
        <f>CompletedProjects[[#This Row],[Annual Emissions (MMTCO2)]]*40</f>
        <v>1.0062958892589473</v>
      </c>
      <c r="Q205" s="167"/>
      <c r="R205" s="167" t="s">
        <v>638</v>
      </c>
      <c r="S205" s="167" t="s">
        <v>466</v>
      </c>
      <c r="T205" s="167"/>
      <c r="U205" s="2"/>
      <c r="V205" s="2"/>
      <c r="Y205" s="2"/>
    </row>
    <row r="206" spans="1:25" ht="57.35">
      <c r="A206" s="167" t="s">
        <v>239</v>
      </c>
      <c r="B206" s="186" t="s">
        <v>519</v>
      </c>
      <c r="C206" s="167" t="s">
        <v>464</v>
      </c>
      <c r="D206" s="172">
        <f>500000*'Dev Bank Share by Country'!$K$38</f>
        <v>32255</v>
      </c>
      <c r="E206" s="173" t="s">
        <v>531</v>
      </c>
      <c r="F206" s="173" t="s">
        <v>532</v>
      </c>
      <c r="G206" s="262"/>
      <c r="H206" s="173" t="s">
        <v>239</v>
      </c>
      <c r="I206" s="180" t="s">
        <v>283</v>
      </c>
      <c r="J206" s="173" t="s">
        <v>26</v>
      </c>
      <c r="K206" s="241">
        <v>40035</v>
      </c>
      <c r="L206" s="178" t="s">
        <v>1322</v>
      </c>
      <c r="M206" s="262"/>
      <c r="N206" s="337">
        <f>600/13</f>
        <v>46.153846153846153</v>
      </c>
      <c r="O206" s="461">
        <f>CompletedProjects[[#This Row],[Power Plant Size (MW) or Share]]*0.593*9057*211.9*10^(-9)</f>
        <v>5.2526433780000006E-2</v>
      </c>
      <c r="P206" s="337">
        <f>CompletedProjects[[#This Row],[Annual Emissions (MMTCO2)]]*40</f>
        <v>2.1010573512000001</v>
      </c>
      <c r="Q206" s="176"/>
      <c r="R206" s="178" t="s">
        <v>524</v>
      </c>
      <c r="S206" s="167"/>
      <c r="T206" s="178"/>
      <c r="U206" s="2"/>
      <c r="V206" s="2"/>
      <c r="Y206" s="2"/>
    </row>
    <row r="207" spans="1:25" ht="100.35">
      <c r="A207" s="167" t="s">
        <v>239</v>
      </c>
      <c r="B207" s="167" t="s">
        <v>511</v>
      </c>
      <c r="C207" s="167" t="s">
        <v>464</v>
      </c>
      <c r="D207" s="172">
        <f>25000000*'Dev Bank Share by Country'!$G$38</f>
        <v>601630.5086951761</v>
      </c>
      <c r="E207" s="173" t="s">
        <v>398</v>
      </c>
      <c r="F207" s="173" t="s">
        <v>398</v>
      </c>
      <c r="G207" s="262" t="s">
        <v>787</v>
      </c>
      <c r="H207" s="173" t="s">
        <v>399</v>
      </c>
      <c r="I207" s="180" t="s">
        <v>283</v>
      </c>
      <c r="J207" s="173" t="s">
        <v>26</v>
      </c>
      <c r="K207" s="241">
        <v>39204</v>
      </c>
      <c r="L207" s="173" t="s">
        <v>915</v>
      </c>
      <c r="M207" s="262"/>
      <c r="N207" s="256">
        <f>30/20</f>
        <v>1.5</v>
      </c>
      <c r="O207" s="461">
        <f>CompletedProjects[[#This Row],[Power Plant Size (MW) or Share]]*0.593*9057*211.9*10^(-9)</f>
        <v>1.7071090978499999E-3</v>
      </c>
      <c r="P207" s="337">
        <f>CompletedProjects[[#This Row],[Annual Emissions (MMTCO2)]]*40</f>
        <v>6.8284363914000001E-2</v>
      </c>
      <c r="Q207" s="176"/>
      <c r="R207" s="167" t="s">
        <v>635</v>
      </c>
      <c r="S207" s="167" t="s">
        <v>465</v>
      </c>
      <c r="T207" s="167"/>
      <c r="U207" s="2"/>
      <c r="V207" s="2"/>
      <c r="Y207" s="2"/>
    </row>
    <row r="208" spans="1:25" ht="43">
      <c r="A208" s="167" t="s">
        <v>239</v>
      </c>
      <c r="B208" s="182" t="s">
        <v>511</v>
      </c>
      <c r="C208" s="182" t="s">
        <v>464</v>
      </c>
      <c r="D208" s="172">
        <f>740000000*'Dev Bank Share by Country'!$G$38</f>
        <v>17808263.057377212</v>
      </c>
      <c r="E208" s="173" t="s">
        <v>418</v>
      </c>
      <c r="F208" s="173" t="s">
        <v>419</v>
      </c>
      <c r="G208" s="262" t="s">
        <v>765</v>
      </c>
      <c r="H208" s="173" t="s">
        <v>144</v>
      </c>
      <c r="I208" s="180" t="s">
        <v>283</v>
      </c>
      <c r="J208" s="183" t="s">
        <v>26</v>
      </c>
      <c r="K208" s="241">
        <v>39520</v>
      </c>
      <c r="L208" s="202" t="s">
        <v>817</v>
      </c>
      <c r="M208" s="262"/>
      <c r="N208" s="256">
        <f>330/19</f>
        <v>17.368421052631579</v>
      </c>
      <c r="O208" s="461">
        <f>CompletedProjects[[#This Row],[Power Plant Size (MW) or Share]]*0.593*9057*211.9*10^(-9)</f>
        <v>1.9766526396157894E-2</v>
      </c>
      <c r="P208" s="337">
        <f>CompletedProjects[[#This Row],[Annual Emissions (MMTCO2)]]*40</f>
        <v>0.79066105584631574</v>
      </c>
      <c r="Q208" s="176"/>
      <c r="R208" s="167" t="s">
        <v>400</v>
      </c>
      <c r="S208" s="167" t="s">
        <v>633</v>
      </c>
      <c r="T208" s="167"/>
      <c r="U208" s="2"/>
      <c r="V208" s="2"/>
      <c r="Y208" s="2"/>
    </row>
    <row r="209" spans="1:25" ht="28.7">
      <c r="A209" s="167" t="s">
        <v>239</v>
      </c>
      <c r="B209" s="171" t="s">
        <v>1061</v>
      </c>
      <c r="C209" s="171" t="s">
        <v>337</v>
      </c>
      <c r="D209" s="172">
        <v>270000000</v>
      </c>
      <c r="E209" s="171" t="s">
        <v>1062</v>
      </c>
      <c r="F209" s="173" t="s">
        <v>1063</v>
      </c>
      <c r="G209" s="262" t="s">
        <v>1076</v>
      </c>
      <c r="H209" s="180" t="s">
        <v>85</v>
      </c>
      <c r="I209" s="180" t="s">
        <v>283</v>
      </c>
      <c r="J209" s="188" t="s">
        <v>26</v>
      </c>
      <c r="K209" s="240">
        <v>39326</v>
      </c>
      <c r="L209" s="171"/>
      <c r="M209" s="262"/>
      <c r="N209" s="463">
        <v>630</v>
      </c>
      <c r="O209" s="461">
        <f>CompletedProjects[[#This Row],[Power Plant Size (MW) or Share]]*0.593*9057*211.9*10^(-9)</f>
        <v>0.71698582109700004</v>
      </c>
      <c r="P209" s="337">
        <f>CompletedProjects[[#This Row],[Annual Emissions (MMTCO2)]]*40</f>
        <v>28.679432843880001</v>
      </c>
      <c r="Q209" s="176"/>
      <c r="R209" s="178"/>
      <c r="S209" s="167"/>
      <c r="T209" s="178"/>
      <c r="U209" s="2"/>
      <c r="V209" s="2"/>
      <c r="Y209" s="2"/>
    </row>
    <row r="210" spans="1:25" ht="71.7">
      <c r="A210" s="167" t="s">
        <v>239</v>
      </c>
      <c r="B210" s="186" t="s">
        <v>519</v>
      </c>
      <c r="C210" s="167" t="s">
        <v>464</v>
      </c>
      <c r="D210" s="172">
        <f>350000*'Dev Bank Share by Country'!$K$38</f>
        <v>22578.5</v>
      </c>
      <c r="E210" s="173" t="s">
        <v>542</v>
      </c>
      <c r="F210" s="173" t="s">
        <v>543</v>
      </c>
      <c r="G210" s="262"/>
      <c r="H210" s="173" t="s">
        <v>201</v>
      </c>
      <c r="I210" s="173" t="s">
        <v>40</v>
      </c>
      <c r="J210" s="173" t="s">
        <v>40</v>
      </c>
      <c r="K210" s="241">
        <v>41977</v>
      </c>
      <c r="L210" s="173" t="s">
        <v>1713</v>
      </c>
      <c r="M210" s="262" t="s">
        <v>805</v>
      </c>
      <c r="N210" s="102"/>
      <c r="O210" s="461">
        <f>CompletedProjects[[#This Row],[Power Plant Size (MW) or Share]]*0.593*9057*211.9*10^(-9)</f>
        <v>0</v>
      </c>
      <c r="P210" s="337">
        <f>CompletedProjects[[#This Row],[Annual Emissions (MMTCO2)]]*40</f>
        <v>0</v>
      </c>
      <c r="Q210" s="173"/>
      <c r="R210" s="178"/>
      <c r="S210" s="167"/>
      <c r="T210" s="178"/>
      <c r="U210" s="2"/>
      <c r="V210" s="2"/>
      <c r="Y210" s="2"/>
    </row>
    <row r="211" spans="1:25" ht="258">
      <c r="A211" s="167" t="s">
        <v>239</v>
      </c>
      <c r="B211" s="167" t="s">
        <v>401</v>
      </c>
      <c r="C211" s="182" t="s">
        <v>464</v>
      </c>
      <c r="D211" s="172">
        <f>11000000*'Dev Bank Share by Country'!$E$38</f>
        <v>233675.50369074632</v>
      </c>
      <c r="E211" s="173" t="s">
        <v>420</v>
      </c>
      <c r="F211" s="173" t="s">
        <v>421</v>
      </c>
      <c r="G211" s="262" t="s">
        <v>769</v>
      </c>
      <c r="H211" s="173" t="s">
        <v>422</v>
      </c>
      <c r="I211" s="180" t="s">
        <v>283</v>
      </c>
      <c r="J211" s="173" t="s">
        <v>277</v>
      </c>
      <c r="K211" s="241">
        <v>39777</v>
      </c>
      <c r="L211" s="197"/>
      <c r="M211" s="273"/>
      <c r="N211" s="256"/>
      <c r="O211" s="461">
        <f>CompletedProjects[[#This Row],[Power Plant Size (MW) or Share]]*0.593*9057*211.9*10^(-9)</f>
        <v>0</v>
      </c>
      <c r="P211" s="337">
        <f>CompletedProjects[[#This Row],[Annual Emissions (MMTCO2)]]*40</f>
        <v>0</v>
      </c>
      <c r="Q211" s="167"/>
      <c r="R211" s="173" t="s">
        <v>834</v>
      </c>
      <c r="S211" s="167" t="s">
        <v>633</v>
      </c>
      <c r="T211" s="173"/>
      <c r="U211" s="2"/>
      <c r="V211" s="2"/>
      <c r="Y211" s="2"/>
    </row>
    <row r="212" spans="1:25" s="236" customFormat="1" ht="71.7">
      <c r="A212" s="167" t="s">
        <v>239</v>
      </c>
      <c r="B212" s="186" t="s">
        <v>519</v>
      </c>
      <c r="C212" s="167" t="s">
        <v>464</v>
      </c>
      <c r="D212" s="172">
        <f>900525000*'Dev Bank Share by Country'!$K$38</f>
        <v>58092867.75</v>
      </c>
      <c r="E212" s="173" t="s">
        <v>510</v>
      </c>
      <c r="F212" s="173" t="s">
        <v>541</v>
      </c>
      <c r="G212" s="262"/>
      <c r="H212" s="173" t="s">
        <v>442</v>
      </c>
      <c r="I212" s="180" t="s">
        <v>283</v>
      </c>
      <c r="J212" s="173" t="s">
        <v>26</v>
      </c>
      <c r="K212" s="241">
        <v>41617</v>
      </c>
      <c r="L212" s="178" t="s">
        <v>1712</v>
      </c>
      <c r="M212" s="262" t="s">
        <v>902</v>
      </c>
      <c r="N212" s="337">
        <f>600/13</f>
        <v>46.153846153846153</v>
      </c>
      <c r="O212" s="461">
        <f>CompletedProjects[[#This Row],[Power Plant Size (MW) or Share]]*0.593*9057*211.9*10^(-9)</f>
        <v>5.2526433780000006E-2</v>
      </c>
      <c r="P212" s="337">
        <f>CompletedProjects[[#This Row],[Annual Emissions (MMTCO2)]]*40</f>
        <v>2.1010573512000001</v>
      </c>
      <c r="Q212" s="176"/>
      <c r="R212" s="178" t="s">
        <v>524</v>
      </c>
      <c r="S212" s="167"/>
      <c r="T212" s="178"/>
    </row>
    <row r="213" spans="1:25" s="237" customFormat="1" ht="28.7">
      <c r="A213" s="181" t="s">
        <v>239</v>
      </c>
      <c r="B213" s="182" t="s">
        <v>519</v>
      </c>
      <c r="C213" s="182" t="s">
        <v>464</v>
      </c>
      <c r="D213" s="172">
        <f>70500000*'Dev Bank Share by Country'!$K$38</f>
        <v>4547955</v>
      </c>
      <c r="E213" s="183" t="s">
        <v>1400</v>
      </c>
      <c r="F213" s="183" t="s">
        <v>1399</v>
      </c>
      <c r="G213" s="267" t="s">
        <v>1401</v>
      </c>
      <c r="H213" s="183" t="s">
        <v>273</v>
      </c>
      <c r="I213" s="180" t="s">
        <v>283</v>
      </c>
      <c r="J213" s="183" t="s">
        <v>26</v>
      </c>
      <c r="K213" s="242">
        <v>40813</v>
      </c>
      <c r="L213" s="183" t="s">
        <v>1711</v>
      </c>
      <c r="M213" s="267"/>
      <c r="N213" s="338"/>
      <c r="O213" s="461">
        <f>CompletedProjects[[#This Row],[Power Plant Size (MW) or Share]]*0.593*9057*211.9*10^(-9)</f>
        <v>0</v>
      </c>
      <c r="P213" s="337">
        <f>CompletedProjects[[#This Row],[Annual Emissions (MMTCO2)]]*40</f>
        <v>0</v>
      </c>
      <c r="Q213" s="169"/>
      <c r="R213" s="185"/>
      <c r="S213" s="181"/>
      <c r="T213" s="185"/>
    </row>
    <row r="214" spans="1:25" s="237" customFormat="1" ht="28.7">
      <c r="A214" s="167" t="s">
        <v>239</v>
      </c>
      <c r="B214" s="196" t="s">
        <v>1061</v>
      </c>
      <c r="C214" s="171" t="s">
        <v>337</v>
      </c>
      <c r="D214" s="172">
        <v>84600000</v>
      </c>
      <c r="E214" s="167" t="s">
        <v>1062</v>
      </c>
      <c r="F214" s="173" t="s">
        <v>1064</v>
      </c>
      <c r="G214" s="262" t="s">
        <v>1381</v>
      </c>
      <c r="H214" s="188" t="s">
        <v>85</v>
      </c>
      <c r="I214" s="180" t="s">
        <v>283</v>
      </c>
      <c r="J214" s="188" t="s">
        <v>26</v>
      </c>
      <c r="K214" s="240">
        <v>39595</v>
      </c>
      <c r="L214" s="197"/>
      <c r="M214" s="262" t="s">
        <v>725</v>
      </c>
      <c r="N214" s="464">
        <v>990</v>
      </c>
      <c r="O214" s="461">
        <f>CompletedProjects[[#This Row],[Power Plant Size (MW) or Share]]*0.593*9057*211.9*10^(-9)</f>
        <v>1.1266920045809998</v>
      </c>
      <c r="P214" s="337">
        <f>CompletedProjects[[#This Row],[Annual Emissions (MMTCO2)]]*40</f>
        <v>45.067680183239993</v>
      </c>
      <c r="Q214" s="176"/>
      <c r="R214" s="188"/>
      <c r="S214" s="167"/>
      <c r="T214" s="188"/>
    </row>
    <row r="215" spans="1:25" s="236" customFormat="1" ht="57.35">
      <c r="A215" s="167" t="s">
        <v>239</v>
      </c>
      <c r="B215" s="186" t="s">
        <v>519</v>
      </c>
      <c r="C215" s="167" t="s">
        <v>464</v>
      </c>
      <c r="D215" s="172">
        <f>200000000*'Dev Bank Share by Country'!$K$38</f>
        <v>12902000</v>
      </c>
      <c r="E215" s="173" t="s">
        <v>413</v>
      </c>
      <c r="F215" s="173" t="s">
        <v>523</v>
      </c>
      <c r="G215" s="262"/>
      <c r="H215" s="173" t="s">
        <v>95</v>
      </c>
      <c r="I215" s="180" t="s">
        <v>283</v>
      </c>
      <c r="J215" s="173" t="s">
        <v>277</v>
      </c>
      <c r="K215" s="241">
        <v>39554</v>
      </c>
      <c r="L215" s="167" t="s">
        <v>1319</v>
      </c>
      <c r="M215" s="262"/>
      <c r="N215" s="256">
        <f>600/13/2</f>
        <v>23.076923076923077</v>
      </c>
      <c r="O215" s="461">
        <f>CompletedProjects[[#This Row],[Power Plant Size (MW) or Share]]*0.593*9057*211.9*10^(-9)</f>
        <v>2.6263216890000003E-2</v>
      </c>
      <c r="P215" s="337">
        <f>CompletedProjects[[#This Row],[Annual Emissions (MMTCO2)]]*40</f>
        <v>1.0505286756000001</v>
      </c>
      <c r="Q215" s="203"/>
      <c r="R215" s="167" t="s">
        <v>641</v>
      </c>
      <c r="S215" s="167"/>
      <c r="T215" s="167"/>
    </row>
    <row r="216" spans="1:25" s="236" customFormat="1" ht="43">
      <c r="A216" s="167" t="s">
        <v>239</v>
      </c>
      <c r="B216" s="186" t="s">
        <v>519</v>
      </c>
      <c r="C216" s="167" t="s">
        <v>464</v>
      </c>
      <c r="D216" s="172">
        <f>27860000*'Dev Bank Share by Country'!$K$38</f>
        <v>1797248.5999999999</v>
      </c>
      <c r="E216" s="173" t="s">
        <v>520</v>
      </c>
      <c r="F216" s="173" t="s">
        <v>521</v>
      </c>
      <c r="G216" s="262"/>
      <c r="H216" s="173" t="s">
        <v>63</v>
      </c>
      <c r="I216" s="180" t="s">
        <v>283</v>
      </c>
      <c r="J216" s="173" t="s">
        <v>26</v>
      </c>
      <c r="K216" s="241">
        <v>39357</v>
      </c>
      <c r="L216" s="167" t="s">
        <v>1320</v>
      </c>
      <c r="M216" s="262"/>
      <c r="N216" s="256">
        <f>1080/13</f>
        <v>83.07692307692308</v>
      </c>
      <c r="O216" s="461">
        <f>CompletedProjects[[#This Row],[Power Plant Size (MW) or Share]]*0.593*9057*211.9*10^(-9)</f>
        <v>9.4547580804000012E-2</v>
      </c>
      <c r="P216" s="337">
        <f>CompletedProjects[[#This Row],[Annual Emissions (MMTCO2)]]*40</f>
        <v>3.7819032321600003</v>
      </c>
      <c r="Q216" s="203"/>
      <c r="R216" s="167" t="s">
        <v>522</v>
      </c>
      <c r="S216" s="167"/>
      <c r="T216" s="167"/>
    </row>
    <row r="217" spans="1:25" s="236" customFormat="1" ht="57.35">
      <c r="A217" s="167" t="s">
        <v>239</v>
      </c>
      <c r="B217" s="171" t="s">
        <v>1061</v>
      </c>
      <c r="C217" s="171" t="s">
        <v>337</v>
      </c>
      <c r="D217" s="172"/>
      <c r="E217" s="171" t="s">
        <v>1062</v>
      </c>
      <c r="F217" s="173" t="s">
        <v>1065</v>
      </c>
      <c r="G217" s="262" t="s">
        <v>1076</v>
      </c>
      <c r="H217" s="180" t="s">
        <v>85</v>
      </c>
      <c r="I217" s="180" t="s">
        <v>283</v>
      </c>
      <c r="J217" s="188" t="s">
        <v>26</v>
      </c>
      <c r="K217" s="240">
        <v>39845</v>
      </c>
      <c r="L217" s="197"/>
      <c r="M217" s="262" t="s">
        <v>1118</v>
      </c>
      <c r="N217" s="463"/>
      <c r="O217" s="461">
        <f>CompletedProjects[[#This Row],[Power Plant Size (MW) or Share]]*0.593*9057*211.9*10^(-9)</f>
        <v>0</v>
      </c>
      <c r="P217" s="337">
        <f>CompletedProjects[[#This Row],[Annual Emissions (MMTCO2)]]*40</f>
        <v>0</v>
      </c>
      <c r="Q217" s="176"/>
      <c r="R217" s="171" t="s">
        <v>1116</v>
      </c>
      <c r="S217" s="167"/>
      <c r="T217" s="171"/>
    </row>
    <row r="218" spans="1:25" s="236" customFormat="1" ht="71.7">
      <c r="A218" s="167" t="s">
        <v>239</v>
      </c>
      <c r="B218" s="189" t="s">
        <v>1061</v>
      </c>
      <c r="C218" s="189" t="s">
        <v>337</v>
      </c>
      <c r="D218" s="172">
        <v>277000000</v>
      </c>
      <c r="E218" s="179" t="s">
        <v>1335</v>
      </c>
      <c r="F218" s="179" t="s">
        <v>1336</v>
      </c>
      <c r="G218" s="271"/>
      <c r="H218" s="179" t="s">
        <v>85</v>
      </c>
      <c r="I218" s="180" t="s">
        <v>283</v>
      </c>
      <c r="J218" s="179" t="s">
        <v>26</v>
      </c>
      <c r="K218" s="245">
        <v>40133</v>
      </c>
      <c r="L218" s="179"/>
      <c r="M218" s="274" t="s">
        <v>1358</v>
      </c>
      <c r="N218" s="157">
        <v>660</v>
      </c>
      <c r="O218" s="461">
        <f>CompletedProjects[[#This Row],[Power Plant Size (MW) or Share]]*0.593*9057*211.9*10^(-9)</f>
        <v>0.75112800305400007</v>
      </c>
      <c r="P218" s="337">
        <f>CompletedProjects[[#This Row],[Annual Emissions (MMTCO2)]]*40</f>
        <v>30.045120122160004</v>
      </c>
      <c r="Q218" s="190"/>
      <c r="R218" s="191"/>
      <c r="S218" s="181"/>
      <c r="T218" s="191"/>
    </row>
    <row r="219" spans="1:25" s="151" customFormat="1" ht="43">
      <c r="A219" s="167" t="s">
        <v>239</v>
      </c>
      <c r="B219" s="171" t="s">
        <v>1061</v>
      </c>
      <c r="C219" s="171" t="s">
        <v>337</v>
      </c>
      <c r="D219" s="172">
        <v>493000000</v>
      </c>
      <c r="E219" s="171" t="s">
        <v>1066</v>
      </c>
      <c r="F219" s="173" t="s">
        <v>1067</v>
      </c>
      <c r="G219" s="262" t="s">
        <v>1077</v>
      </c>
      <c r="H219" s="180" t="s">
        <v>95</v>
      </c>
      <c r="I219" s="180" t="s">
        <v>283</v>
      </c>
      <c r="J219" s="188" t="s">
        <v>26</v>
      </c>
      <c r="K219" s="240">
        <v>40207</v>
      </c>
      <c r="L219" s="171"/>
      <c r="M219" s="262"/>
      <c r="N219" s="463">
        <v>2100</v>
      </c>
      <c r="O219" s="461">
        <f>CompletedProjects[[#This Row],[Power Plant Size (MW) or Share]]*0.593*9057*211.9*10^(-9)</f>
        <v>2.3899527369899998</v>
      </c>
      <c r="P219" s="337">
        <f>CompletedProjects[[#This Row],[Annual Emissions (MMTCO2)]]*40</f>
        <v>95.598109479599998</v>
      </c>
      <c r="Q219" s="176"/>
      <c r="R219" s="178"/>
      <c r="S219" s="167"/>
      <c r="T219" s="178"/>
    </row>
    <row r="220" spans="1:25" s="236" customFormat="1" ht="28.7">
      <c r="A220" s="167" t="s">
        <v>239</v>
      </c>
      <c r="B220" s="171" t="s">
        <v>1061</v>
      </c>
      <c r="C220" s="171" t="s">
        <v>337</v>
      </c>
      <c r="D220" s="172">
        <v>100000000</v>
      </c>
      <c r="E220" s="205" t="s">
        <v>1068</v>
      </c>
      <c r="F220" s="173" t="s">
        <v>1069</v>
      </c>
      <c r="G220" s="262" t="s">
        <v>1078</v>
      </c>
      <c r="H220" s="180" t="s">
        <v>65</v>
      </c>
      <c r="I220" s="180" t="s">
        <v>283</v>
      </c>
      <c r="J220" s="188" t="s">
        <v>26</v>
      </c>
      <c r="K220" s="240">
        <v>40499</v>
      </c>
      <c r="L220" s="171" t="s">
        <v>1364</v>
      </c>
      <c r="M220" s="262"/>
      <c r="N220" s="463">
        <v>660</v>
      </c>
      <c r="O220" s="461">
        <f>CompletedProjects[[#This Row],[Power Plant Size (MW) or Share]]*0.593*9057*211.9*10^(-9)</f>
        <v>0.75112800305400007</v>
      </c>
      <c r="P220" s="337">
        <f>CompletedProjects[[#This Row],[Annual Emissions (MMTCO2)]]*40</f>
        <v>30.045120122160004</v>
      </c>
      <c r="Q220" s="176"/>
      <c r="R220" s="178"/>
      <c r="S220" s="167"/>
      <c r="T220" s="178"/>
    </row>
    <row r="221" spans="1:25" ht="28.7">
      <c r="A221" s="167" t="s">
        <v>239</v>
      </c>
      <c r="B221" s="183" t="s">
        <v>508</v>
      </c>
      <c r="C221" s="183" t="s">
        <v>464</v>
      </c>
      <c r="D221" s="172">
        <f>147000000*'Dev Bank Share by Country'!$O$38</f>
        <v>3232.5268110420288</v>
      </c>
      <c r="E221" s="173" t="s">
        <v>471</v>
      </c>
      <c r="F221" s="173" t="s">
        <v>472</v>
      </c>
      <c r="G221" s="262" t="s">
        <v>930</v>
      </c>
      <c r="H221" s="173" t="s">
        <v>473</v>
      </c>
      <c r="I221" s="180" t="s">
        <v>283</v>
      </c>
      <c r="J221" s="173" t="s">
        <v>26</v>
      </c>
      <c r="K221" s="241">
        <v>39892</v>
      </c>
      <c r="L221" s="197"/>
      <c r="M221" s="262"/>
      <c r="N221" s="150">
        <f>720/12</f>
        <v>60</v>
      </c>
      <c r="O221" s="461">
        <f>CompletedProjects[[#This Row],[Power Plant Size (MW) or Share]]*0.593*9057*211.9*10^(-9)</f>
        <v>6.8284363914000015E-2</v>
      </c>
      <c r="P221" s="337">
        <f>CompletedProjects[[#This Row],[Annual Emissions (MMTCO2)]]*40</f>
        <v>2.7313745565600005</v>
      </c>
      <c r="Q221" s="203"/>
      <c r="R221" s="173"/>
      <c r="S221" s="167"/>
      <c r="T221" s="173"/>
      <c r="U221" s="2"/>
      <c r="V221" s="2"/>
      <c r="Y221" s="2"/>
    </row>
    <row r="222" spans="1:25" ht="43">
      <c r="A222" s="167" t="s">
        <v>239</v>
      </c>
      <c r="B222" s="183" t="s">
        <v>508</v>
      </c>
      <c r="C222" s="183" t="s">
        <v>464</v>
      </c>
      <c r="D222" s="172">
        <f>50000000*'Dev Bank Share by Country'!$O$38</f>
        <v>1099.4989153204181</v>
      </c>
      <c r="E222" s="173" t="s">
        <v>475</v>
      </c>
      <c r="F222" s="173" t="s">
        <v>476</v>
      </c>
      <c r="G222" s="262" t="s">
        <v>931</v>
      </c>
      <c r="H222" s="173" t="s">
        <v>473</v>
      </c>
      <c r="I222" s="180" t="s">
        <v>283</v>
      </c>
      <c r="J222" s="173" t="s">
        <v>26</v>
      </c>
      <c r="K222" s="241">
        <v>39892</v>
      </c>
      <c r="L222" s="197"/>
      <c r="M222" s="262"/>
      <c r="N222" s="462">
        <f>360/12</f>
        <v>30</v>
      </c>
      <c r="O222" s="461">
        <f>CompletedProjects[[#This Row],[Power Plant Size (MW) or Share]]*0.593*9057*211.9*10^(-9)</f>
        <v>3.4142181957000008E-2</v>
      </c>
      <c r="P222" s="337">
        <f>CompletedProjects[[#This Row],[Annual Emissions (MMTCO2)]]*40</f>
        <v>1.3656872782800002</v>
      </c>
      <c r="Q222" s="203"/>
      <c r="R222" s="173"/>
      <c r="S222" s="167"/>
      <c r="T222" s="173"/>
      <c r="U222" s="2"/>
      <c r="V222" s="2"/>
      <c r="Y222" s="2"/>
    </row>
    <row r="223" spans="1:25" ht="86">
      <c r="A223" s="167" t="s">
        <v>239</v>
      </c>
      <c r="B223" s="182" t="s">
        <v>511</v>
      </c>
      <c r="C223" s="182" t="s">
        <v>464</v>
      </c>
      <c r="D223" s="172">
        <f>8000000*'Dev Bank Share by Country'!$G$38</f>
        <v>192521.76278245632</v>
      </c>
      <c r="E223" s="173" t="s">
        <v>405</v>
      </c>
      <c r="F223" s="173" t="s">
        <v>406</v>
      </c>
      <c r="G223" s="262" t="s">
        <v>786</v>
      </c>
      <c r="H223" s="173" t="s">
        <v>65</v>
      </c>
      <c r="I223" s="180" t="s">
        <v>283</v>
      </c>
      <c r="J223" s="173" t="s">
        <v>26</v>
      </c>
      <c r="K223" s="241">
        <v>39234</v>
      </c>
      <c r="L223" s="173" t="s">
        <v>815</v>
      </c>
      <c r="M223" s="262" t="s">
        <v>806</v>
      </c>
      <c r="N223" s="256">
        <f>600/19</f>
        <v>31.578947368421051</v>
      </c>
      <c r="O223" s="461">
        <f>CompletedProjects[[#This Row],[Power Plant Size (MW) or Share]]*0.593*9057*211.9*10^(-9)</f>
        <v>3.5939138902105268E-2</v>
      </c>
      <c r="P223" s="337">
        <f>CompletedProjects[[#This Row],[Annual Emissions (MMTCO2)]]*40</f>
        <v>1.4375655560842107</v>
      </c>
      <c r="Q223" s="167"/>
      <c r="R223" s="167" t="s">
        <v>467</v>
      </c>
      <c r="S223" s="167" t="s">
        <v>633</v>
      </c>
      <c r="T223" s="167"/>
      <c r="U223" s="2"/>
      <c r="V223" s="2"/>
      <c r="Y223" s="2"/>
    </row>
    <row r="224" spans="1:25" ht="71.7">
      <c r="A224" s="167" t="s">
        <v>239</v>
      </c>
      <c r="B224" s="171" t="s">
        <v>1061</v>
      </c>
      <c r="C224" s="171" t="s">
        <v>337</v>
      </c>
      <c r="D224" s="172">
        <f>(50000000000*0.022069726)/4</f>
        <v>275871575</v>
      </c>
      <c r="E224" s="171" t="s">
        <v>425</v>
      </c>
      <c r="F224" s="173" t="s">
        <v>1070</v>
      </c>
      <c r="G224" s="262" t="s">
        <v>1079</v>
      </c>
      <c r="H224" s="180" t="s">
        <v>65</v>
      </c>
      <c r="I224" s="180" t="s">
        <v>283</v>
      </c>
      <c r="J224" s="188" t="s">
        <v>26</v>
      </c>
      <c r="K224" s="240">
        <v>40513</v>
      </c>
      <c r="L224" s="171" t="s">
        <v>1354</v>
      </c>
      <c r="M224" s="262"/>
      <c r="N224" s="256">
        <f>3960/4</f>
        <v>990</v>
      </c>
      <c r="O224" s="461">
        <f>CompletedProjects[[#This Row],[Power Plant Size (MW) or Share]]*0.593*9057*211.9*10^(-9)</f>
        <v>1.1266920045809998</v>
      </c>
      <c r="P224" s="337">
        <f>CompletedProjects[[#This Row],[Annual Emissions (MMTCO2)]]*40</f>
        <v>45.067680183239993</v>
      </c>
      <c r="Q224" s="176"/>
      <c r="R224" s="178"/>
      <c r="S224" s="167"/>
      <c r="T224" s="178"/>
      <c r="U224" s="2"/>
      <c r="V224" s="2"/>
      <c r="Y224" s="2"/>
    </row>
    <row r="225" spans="1:25" ht="57.35">
      <c r="A225" s="167" t="s">
        <v>239</v>
      </c>
      <c r="B225" s="171" t="s">
        <v>1061</v>
      </c>
      <c r="C225" s="171" t="s">
        <v>337</v>
      </c>
      <c r="D225" s="172">
        <f>1000000000/3</f>
        <v>333333333.33333331</v>
      </c>
      <c r="E225" s="171" t="s">
        <v>1132</v>
      </c>
      <c r="F225" s="178" t="s">
        <v>1324</v>
      </c>
      <c r="G225" s="262" t="s">
        <v>1134</v>
      </c>
      <c r="H225" s="187" t="s">
        <v>399</v>
      </c>
      <c r="I225" s="180" t="s">
        <v>283</v>
      </c>
      <c r="J225" s="188" t="s">
        <v>26</v>
      </c>
      <c r="K225" s="240">
        <v>40527</v>
      </c>
      <c r="L225" s="171" t="s">
        <v>1305</v>
      </c>
      <c r="M225" s="262" t="s">
        <v>1142</v>
      </c>
      <c r="N225" s="158"/>
      <c r="O225" s="461">
        <f>CompletedProjects[[#This Row],[Power Plant Size (MW) or Share]]*0.593*9057*211.9*10^(-9)</f>
        <v>0</v>
      </c>
      <c r="P225" s="337">
        <f>CompletedProjects[[#This Row],[Annual Emissions (MMTCO2)]]*40</f>
        <v>0</v>
      </c>
      <c r="Q225" s="176"/>
      <c r="R225" s="178"/>
      <c r="S225" s="167"/>
      <c r="T225" s="178"/>
      <c r="U225" s="2"/>
      <c r="V225" s="2"/>
      <c r="Y225" s="2"/>
    </row>
    <row r="226" spans="1:25" s="299" customFormat="1" ht="86">
      <c r="A226" s="167" t="s">
        <v>239</v>
      </c>
      <c r="B226" s="171" t="s">
        <v>1061</v>
      </c>
      <c r="C226" s="171" t="s">
        <v>337</v>
      </c>
      <c r="D226" s="172">
        <f>((1250000000)*0.85)/3</f>
        <v>354166666.66666669</v>
      </c>
      <c r="E226" s="171" t="s">
        <v>91</v>
      </c>
      <c r="F226" s="173" t="s">
        <v>1728</v>
      </c>
      <c r="G226" s="262" t="s">
        <v>1080</v>
      </c>
      <c r="H226" s="180" t="s">
        <v>63</v>
      </c>
      <c r="I226" s="180" t="s">
        <v>283</v>
      </c>
      <c r="J226" s="188" t="s">
        <v>26</v>
      </c>
      <c r="K226" s="240">
        <v>40756</v>
      </c>
      <c r="L226" s="171" t="s">
        <v>1727</v>
      </c>
      <c r="M226" s="262"/>
      <c r="N226" s="158">
        <v>1245</v>
      </c>
      <c r="O226" s="461">
        <f>CompletedProjects[[#This Row],[Power Plant Size (MW) or Share]]*0.593*9057*211.9*10^(-9)</f>
        <v>1.4169005512155002</v>
      </c>
      <c r="P226" s="337">
        <f>CompletedProjects[[#This Row],[Annual Emissions (MMTCO2)]]*40</f>
        <v>56.676022048620005</v>
      </c>
      <c r="Q226" s="176"/>
      <c r="R226" s="178" t="s">
        <v>537</v>
      </c>
      <c r="S226" s="167"/>
      <c r="T226" s="178"/>
    </row>
    <row r="227" spans="1:25" ht="71.7">
      <c r="A227" s="167" t="s">
        <v>239</v>
      </c>
      <c r="B227" s="186" t="s">
        <v>519</v>
      </c>
      <c r="C227" s="167" t="s">
        <v>464</v>
      </c>
      <c r="D227" s="172">
        <f>902850000*'Dev Bank Share by Country'!$K$38</f>
        <v>58242853.5</v>
      </c>
      <c r="E227" s="173" t="s">
        <v>91</v>
      </c>
      <c r="F227" s="173" t="s">
        <v>536</v>
      </c>
      <c r="G227" s="262"/>
      <c r="H227" s="173" t="s">
        <v>63</v>
      </c>
      <c r="I227" s="180" t="s">
        <v>283</v>
      </c>
      <c r="J227" s="173" t="s">
        <v>26</v>
      </c>
      <c r="K227" s="241">
        <v>40168</v>
      </c>
      <c r="L227" s="173" t="s">
        <v>1323</v>
      </c>
      <c r="M227" s="262"/>
      <c r="N227" s="337"/>
      <c r="O227" s="461">
        <f>CompletedProjects[[#This Row],[Power Plant Size (MW) or Share]]*0.593*9057*211.9*10^(-9)</f>
        <v>0</v>
      </c>
      <c r="P227" s="337">
        <f>CompletedProjects[[#This Row],[Annual Emissions (MMTCO2)]]*40</f>
        <v>0</v>
      </c>
      <c r="Q227" s="176"/>
      <c r="R227" s="178" t="s">
        <v>537</v>
      </c>
      <c r="S227" s="167"/>
      <c r="T227" s="178"/>
      <c r="U227" s="2"/>
      <c r="V227" s="2"/>
      <c r="Y227" s="2"/>
    </row>
    <row r="228" spans="1:25" ht="114.7">
      <c r="A228" s="167" t="s">
        <v>239</v>
      </c>
      <c r="B228" s="182" t="s">
        <v>511</v>
      </c>
      <c r="C228" s="182" t="s">
        <v>464</v>
      </c>
      <c r="D228" s="172">
        <f>275000000*'Dev Bank Share by Country'!$G$38</f>
        <v>6617935.5956469364</v>
      </c>
      <c r="E228" s="173" t="s">
        <v>413</v>
      </c>
      <c r="F228" s="173" t="s">
        <v>413</v>
      </c>
      <c r="G228" s="262" t="s">
        <v>766</v>
      </c>
      <c r="H228" s="173" t="s">
        <v>95</v>
      </c>
      <c r="I228" s="180" t="s">
        <v>283</v>
      </c>
      <c r="J228" s="173" t="s">
        <v>277</v>
      </c>
      <c r="K228" s="241">
        <v>39394</v>
      </c>
      <c r="L228" s="173" t="s">
        <v>917</v>
      </c>
      <c r="M228" s="262"/>
      <c r="N228" s="256">
        <f>600/7/2</f>
        <v>42.857142857142854</v>
      </c>
      <c r="O228" s="461">
        <f>CompletedProjects[[#This Row],[Power Plant Size (MW) or Share]]*0.593*9057*211.9*10^(-9)</f>
        <v>4.8774545652857132E-2</v>
      </c>
      <c r="P228" s="337">
        <f>CompletedProjects[[#This Row],[Annual Emissions (MMTCO2)]]*40</f>
        <v>1.9509818261142853</v>
      </c>
      <c r="Q228" s="167"/>
      <c r="R228" s="167" t="s">
        <v>640</v>
      </c>
      <c r="S228" s="167" t="s">
        <v>465</v>
      </c>
      <c r="T228" s="167"/>
      <c r="U228" s="2"/>
      <c r="V228" s="2"/>
      <c r="Y228" s="2"/>
    </row>
    <row r="229" spans="1:25" ht="143.35">
      <c r="A229" s="258" t="s">
        <v>239</v>
      </c>
      <c r="B229" s="259" t="s">
        <v>1061</v>
      </c>
      <c r="C229" s="258" t="s">
        <v>337</v>
      </c>
      <c r="D229" s="172">
        <v>2000000000</v>
      </c>
      <c r="E229" s="258" t="s">
        <v>1535</v>
      </c>
      <c r="F229" s="258" t="s">
        <v>1536</v>
      </c>
      <c r="G229" s="285" t="s">
        <v>1537</v>
      </c>
      <c r="H229" s="259" t="s">
        <v>45</v>
      </c>
      <c r="I229" s="181" t="s">
        <v>40</v>
      </c>
      <c r="J229" s="181" t="s">
        <v>1531</v>
      </c>
      <c r="K229" s="242">
        <v>41355</v>
      </c>
      <c r="L229" s="181"/>
      <c r="M229" s="286"/>
      <c r="N229" s="338"/>
      <c r="O229" s="461">
        <f>CompletedProjects[[#This Row],[Power Plant Size (MW) or Share]]*0.593*9057*211.9*10^(-9)</f>
        <v>0</v>
      </c>
      <c r="P229" s="337">
        <f>CompletedProjects[[#This Row],[Annual Emissions (MMTCO2)]]*40</f>
        <v>0</v>
      </c>
      <c r="Q229" s="169"/>
      <c r="R229" s="185"/>
      <c r="S229" s="258" t="s">
        <v>1563</v>
      </c>
      <c r="T229" s="185"/>
      <c r="U229" s="2"/>
      <c r="V229" s="2"/>
      <c r="Y229" s="2"/>
    </row>
    <row r="230" spans="1:25" ht="28.7">
      <c r="A230" s="167" t="s">
        <v>239</v>
      </c>
      <c r="B230" s="183" t="s">
        <v>509</v>
      </c>
      <c r="C230" s="183" t="s">
        <v>464</v>
      </c>
      <c r="D230" s="172">
        <v>1505259.0074359362</v>
      </c>
      <c r="E230" s="173" t="s">
        <v>429</v>
      </c>
      <c r="F230" s="173" t="s">
        <v>430</v>
      </c>
      <c r="G230" s="262" t="s">
        <v>928</v>
      </c>
      <c r="H230" s="173" t="s">
        <v>431</v>
      </c>
      <c r="I230" s="180" t="s">
        <v>283</v>
      </c>
      <c r="J230" s="173" t="s">
        <v>26</v>
      </c>
      <c r="K230" s="241">
        <v>40114</v>
      </c>
      <c r="L230" s="173"/>
      <c r="M230" s="262"/>
      <c r="N230" s="337">
        <f>600/15/2</f>
        <v>20</v>
      </c>
      <c r="O230" s="461">
        <f>CompletedProjects[[#This Row],[Power Plant Size (MW) or Share]]*0.593*9057*211.9*10^(-9)</f>
        <v>2.2761454637999997E-2</v>
      </c>
      <c r="P230" s="337">
        <f>CompletedProjects[[#This Row],[Annual Emissions (MMTCO2)]]*40</f>
        <v>0.91045818551999991</v>
      </c>
      <c r="Q230" s="176"/>
      <c r="R230" s="178" t="s">
        <v>467</v>
      </c>
      <c r="S230" s="167"/>
      <c r="T230" s="178"/>
      <c r="U230" s="2"/>
      <c r="V230" s="2"/>
      <c r="Y230" s="2"/>
    </row>
    <row r="231" spans="1:25" ht="43">
      <c r="A231" s="167" t="s">
        <v>239</v>
      </c>
      <c r="B231" s="171" t="s">
        <v>1061</v>
      </c>
      <c r="C231" s="171" t="s">
        <v>337</v>
      </c>
      <c r="D231" s="172">
        <v>904000000</v>
      </c>
      <c r="E231" s="171" t="s">
        <v>61</v>
      </c>
      <c r="F231" s="173" t="s">
        <v>62</v>
      </c>
      <c r="G231" s="262" t="s">
        <v>1081</v>
      </c>
      <c r="H231" s="180" t="s">
        <v>63</v>
      </c>
      <c r="I231" s="180" t="s">
        <v>283</v>
      </c>
      <c r="J231" s="188" t="s">
        <v>26</v>
      </c>
      <c r="K231" s="240">
        <v>40969</v>
      </c>
      <c r="L231" s="171"/>
      <c r="M231" s="262"/>
      <c r="N231" s="463">
        <v>1200</v>
      </c>
      <c r="O231" s="461">
        <f>CompletedProjects[[#This Row],[Power Plant Size (MW) or Share]]*0.593*9057*211.9*10^(-9)</f>
        <v>1.36568727828</v>
      </c>
      <c r="P231" s="337">
        <f>CompletedProjects[[#This Row],[Annual Emissions (MMTCO2)]]*40</f>
        <v>54.627491131200003</v>
      </c>
      <c r="Q231" s="176"/>
      <c r="R231" s="178"/>
      <c r="S231" s="167"/>
      <c r="T231" s="178"/>
      <c r="U231" s="2"/>
      <c r="V231" s="2"/>
      <c r="Y231" s="2"/>
    </row>
    <row r="232" spans="1:25" ht="28.7">
      <c r="A232" s="167" t="s">
        <v>239</v>
      </c>
      <c r="B232" s="171" t="s">
        <v>509</v>
      </c>
      <c r="C232" s="171" t="s">
        <v>464</v>
      </c>
      <c r="D232" s="172">
        <v>30414745.658948995</v>
      </c>
      <c r="E232" s="173" t="s">
        <v>41</v>
      </c>
      <c r="F232" s="173" t="s">
        <v>468</v>
      </c>
      <c r="G232" s="262" t="s">
        <v>927</v>
      </c>
      <c r="H232" s="173" t="s">
        <v>25</v>
      </c>
      <c r="I232" s="180" t="s">
        <v>283</v>
      </c>
      <c r="J232" s="173" t="s">
        <v>26</v>
      </c>
      <c r="K232" s="241">
        <v>40142</v>
      </c>
      <c r="L232" s="173"/>
      <c r="M232" s="262"/>
      <c r="N232" s="337">
        <f>4800/15/2</f>
        <v>160</v>
      </c>
      <c r="O232" s="461">
        <f>CompletedProjects[[#This Row],[Power Plant Size (MW) or Share]]*0.593*9057*211.9*10^(-9)</f>
        <v>0.18209163710399998</v>
      </c>
      <c r="P232" s="337">
        <f>CompletedProjects[[#This Row],[Annual Emissions (MMTCO2)]]*40</f>
        <v>7.2836654841599993</v>
      </c>
      <c r="Q232" s="176"/>
      <c r="R232" s="178" t="s">
        <v>642</v>
      </c>
      <c r="S232" s="167"/>
      <c r="T232" s="178"/>
      <c r="U232" s="2"/>
      <c r="V232" s="2"/>
      <c r="Y232" s="2"/>
    </row>
    <row r="233" spans="1:25" ht="43">
      <c r="A233" s="167" t="s">
        <v>239</v>
      </c>
      <c r="B233" s="171" t="s">
        <v>509</v>
      </c>
      <c r="C233" s="171" t="s">
        <v>464</v>
      </c>
      <c r="D233" s="172">
        <v>953225.10442995373</v>
      </c>
      <c r="E233" s="173" t="s">
        <v>469</v>
      </c>
      <c r="F233" s="173" t="s">
        <v>516</v>
      </c>
      <c r="G233" s="262" t="s">
        <v>929</v>
      </c>
      <c r="H233" s="173" t="s">
        <v>458</v>
      </c>
      <c r="I233" s="180" t="s">
        <v>283</v>
      </c>
      <c r="J233" s="173" t="s">
        <v>26</v>
      </c>
      <c r="K233" s="241">
        <v>40142</v>
      </c>
      <c r="L233" s="173"/>
      <c r="M233" s="262"/>
      <c r="N233" s="150">
        <f>125/15</f>
        <v>8.3333333333333339</v>
      </c>
      <c r="O233" s="461">
        <f>CompletedProjects[[#This Row],[Power Plant Size (MW) or Share]]*0.593*9057*211.9*10^(-9)</f>
        <v>9.4839394324999996E-3</v>
      </c>
      <c r="P233" s="337">
        <f>CompletedProjects[[#This Row],[Annual Emissions (MMTCO2)]]*40</f>
        <v>0.37935757729999997</v>
      </c>
      <c r="Q233" s="203"/>
      <c r="R233" s="167" t="s">
        <v>470</v>
      </c>
      <c r="S233" s="167"/>
      <c r="T233" s="167" t="s">
        <v>537</v>
      </c>
      <c r="U233" s="2"/>
      <c r="V233" s="2"/>
      <c r="Y233" s="2"/>
    </row>
    <row r="234" spans="1:25" ht="57.35">
      <c r="A234" s="167" t="s">
        <v>239</v>
      </c>
      <c r="B234" s="182" t="s">
        <v>519</v>
      </c>
      <c r="C234" s="182" t="s">
        <v>464</v>
      </c>
      <c r="D234" s="172">
        <f>450000000*'Dev Bank Share by Country'!$K$38</f>
        <v>29029500</v>
      </c>
      <c r="E234" s="183" t="s">
        <v>1395</v>
      </c>
      <c r="F234" s="183" t="s">
        <v>1393</v>
      </c>
      <c r="G234" s="262" t="s">
        <v>1394</v>
      </c>
      <c r="H234" s="183" t="s">
        <v>65</v>
      </c>
      <c r="I234" s="180" t="s">
        <v>283</v>
      </c>
      <c r="J234" s="183" t="s">
        <v>26</v>
      </c>
      <c r="K234" s="242">
        <v>39562</v>
      </c>
      <c r="L234" s="173" t="s">
        <v>525</v>
      </c>
      <c r="M234" s="262" t="s">
        <v>821</v>
      </c>
      <c r="N234" s="337">
        <f>4000/3/13</f>
        <v>102.56410256410255</v>
      </c>
      <c r="O234" s="461">
        <f>CompletedProjects[[#This Row],[Power Plant Size (MW) or Share]]*0.593*9057*211.9*10^(-9)</f>
        <v>0.11672540839999998</v>
      </c>
      <c r="P234" s="337">
        <f>CompletedProjects[[#This Row],[Annual Emissions (MMTCO2)]]*40</f>
        <v>4.6690163359999994</v>
      </c>
      <c r="Q234" s="176"/>
      <c r="R234" s="173" t="s">
        <v>1396</v>
      </c>
      <c r="S234" s="167"/>
      <c r="T234" s="173"/>
      <c r="U234" s="2"/>
      <c r="V234" s="2"/>
      <c r="Y234" s="2"/>
    </row>
    <row r="235" spans="1:25" ht="57.35">
      <c r="A235" s="167" t="s">
        <v>239</v>
      </c>
      <c r="B235" s="186" t="s">
        <v>519</v>
      </c>
      <c r="C235" s="167" t="s">
        <v>464</v>
      </c>
      <c r="D235" s="311"/>
      <c r="E235" s="173" t="s">
        <v>526</v>
      </c>
      <c r="F235" s="173" t="s">
        <v>527</v>
      </c>
      <c r="G235" s="174" t="s">
        <v>901</v>
      </c>
      <c r="H235" s="173" t="s">
        <v>95</v>
      </c>
      <c r="I235" s="180" t="s">
        <v>283</v>
      </c>
      <c r="J235" s="173" t="s">
        <v>277</v>
      </c>
      <c r="K235" s="241">
        <v>39601</v>
      </c>
      <c r="L235" s="172">
        <f>120000000*'Dev Bank Share by Country'!$K$38</f>
        <v>7741200</v>
      </c>
      <c r="M235" s="450"/>
      <c r="N235" s="337"/>
      <c r="O235" s="461">
        <f>CompletedProjects[[#This Row],[Power Plant Size (MW) or Share]]*0.593*9057*211.9*10^(-9)</f>
        <v>0</v>
      </c>
      <c r="P235" s="337">
        <f>CompletedProjects[[#This Row],[Annual Emissions (MMTCO2)]]*40</f>
        <v>0</v>
      </c>
      <c r="Q235" s="176"/>
      <c r="R235" s="178" t="s">
        <v>1321</v>
      </c>
      <c r="S235" s="167" t="s">
        <v>1688</v>
      </c>
      <c r="T235" s="178"/>
      <c r="U235" s="2"/>
      <c r="V235" s="2"/>
      <c r="Y235" s="2"/>
    </row>
    <row r="236" spans="1:25" ht="43">
      <c r="A236" s="167" t="s">
        <v>239</v>
      </c>
      <c r="B236" s="171" t="s">
        <v>1061</v>
      </c>
      <c r="C236" s="171" t="s">
        <v>337</v>
      </c>
      <c r="D236" s="172">
        <f>350000000*1.2692583087</f>
        <v>444240408.04500002</v>
      </c>
      <c r="E236" s="171" t="s">
        <v>1071</v>
      </c>
      <c r="F236" s="173" t="s">
        <v>1072</v>
      </c>
      <c r="G236" s="262" t="s">
        <v>1082</v>
      </c>
      <c r="H236" s="171" t="s">
        <v>265</v>
      </c>
      <c r="I236" s="173" t="s">
        <v>284</v>
      </c>
      <c r="J236" s="173" t="s">
        <v>1498</v>
      </c>
      <c r="K236" s="240">
        <v>41079</v>
      </c>
      <c r="L236" s="171"/>
      <c r="M236" s="262"/>
      <c r="N236" s="463">
        <v>300</v>
      </c>
      <c r="O236" s="461">
        <f>CompletedProjects[[#This Row],[Power Plant Size (MW) or Share]]*0.593*9057*211.9*10^(-9)</f>
        <v>0.34142181957000001</v>
      </c>
      <c r="P236" s="337">
        <f>CompletedProjects[[#This Row],[Annual Emissions (MMTCO2)]]*40</f>
        <v>13.656872782800001</v>
      </c>
      <c r="Q236" s="176"/>
      <c r="R236" s="178"/>
      <c r="S236" s="167"/>
      <c r="T236" s="178"/>
      <c r="U236" s="2"/>
      <c r="V236" s="2"/>
      <c r="Y236" s="2"/>
    </row>
    <row r="237" spans="1:25" ht="71.7">
      <c r="A237" s="167" t="s">
        <v>239</v>
      </c>
      <c r="B237" s="189" t="s">
        <v>1061</v>
      </c>
      <c r="C237" s="189" t="s">
        <v>337</v>
      </c>
      <c r="D237" s="172">
        <v>94000000</v>
      </c>
      <c r="E237" s="179" t="s">
        <v>1351</v>
      </c>
      <c r="F237" s="179" t="s">
        <v>1334</v>
      </c>
      <c r="G237" s="274"/>
      <c r="H237" s="179" t="s">
        <v>85</v>
      </c>
      <c r="I237" s="173" t="s">
        <v>284</v>
      </c>
      <c r="J237" s="173" t="s">
        <v>1498</v>
      </c>
      <c r="K237" s="245">
        <v>41275</v>
      </c>
      <c r="L237" s="179"/>
      <c r="M237" s="274" t="s">
        <v>1357</v>
      </c>
      <c r="N237" s="157">
        <v>224</v>
      </c>
      <c r="O237" s="461">
        <f>CompletedProjects[[#This Row],[Power Plant Size (MW) or Share]]*0.593*9057*211.9*10^(-9)</f>
        <v>0.25492829194560002</v>
      </c>
      <c r="P237" s="337">
        <f>CompletedProjects[[#This Row],[Annual Emissions (MMTCO2)]]*40</f>
        <v>10.197131677824</v>
      </c>
      <c r="Q237" s="190"/>
      <c r="R237" s="191"/>
      <c r="S237" s="181"/>
      <c r="T237" s="191"/>
      <c r="U237" s="2"/>
      <c r="V237" s="2"/>
      <c r="Y237" s="2"/>
    </row>
    <row r="238" spans="1:25" ht="172">
      <c r="A238" s="167" t="s">
        <v>239</v>
      </c>
      <c r="B238" s="167" t="s">
        <v>401</v>
      </c>
      <c r="C238" s="182" t="s">
        <v>464</v>
      </c>
      <c r="D238" s="172">
        <f>11250000*'Dev Bank Share by Country'!$E$38</f>
        <v>238986.31059280873</v>
      </c>
      <c r="E238" s="173" t="s">
        <v>270</v>
      </c>
      <c r="F238" s="173" t="s">
        <v>433</v>
      </c>
      <c r="G238" s="262" t="s">
        <v>767</v>
      </c>
      <c r="H238" s="173" t="s">
        <v>201</v>
      </c>
      <c r="I238" s="173" t="s">
        <v>40</v>
      </c>
      <c r="J238" s="173" t="s">
        <v>417</v>
      </c>
      <c r="K238" s="241">
        <v>40673</v>
      </c>
      <c r="L238" s="173" t="s">
        <v>828</v>
      </c>
      <c r="M238" s="273" t="s">
        <v>827</v>
      </c>
      <c r="N238" s="256"/>
      <c r="O238" s="461">
        <f>CompletedProjects[[#This Row],[Power Plant Size (MW) or Share]]*0.593*9057*211.9*10^(-9)</f>
        <v>0</v>
      </c>
      <c r="P238" s="337">
        <f>CompletedProjects[[#This Row],[Annual Emissions (MMTCO2)]]*40</f>
        <v>0</v>
      </c>
      <c r="Q238" s="167"/>
      <c r="R238" s="167" t="s">
        <v>400</v>
      </c>
      <c r="S238" s="167" t="s">
        <v>465</v>
      </c>
      <c r="T238" s="167"/>
      <c r="U238" s="2"/>
      <c r="V238" s="2"/>
      <c r="Y238" s="2"/>
    </row>
    <row r="239" spans="1:25" ht="43">
      <c r="A239" s="258" t="s">
        <v>239</v>
      </c>
      <c r="B239" s="259" t="s">
        <v>1061</v>
      </c>
      <c r="C239" s="258" t="s">
        <v>337</v>
      </c>
      <c r="D239" s="172">
        <v>600000000</v>
      </c>
      <c r="E239" s="258" t="s">
        <v>1528</v>
      </c>
      <c r="F239" s="258" t="s">
        <v>1529</v>
      </c>
      <c r="G239" s="284" t="s">
        <v>1530</v>
      </c>
      <c r="H239" s="259" t="s">
        <v>85</v>
      </c>
      <c r="I239" s="181" t="s">
        <v>40</v>
      </c>
      <c r="J239" s="181" t="s">
        <v>1531</v>
      </c>
      <c r="K239" s="242">
        <v>40945</v>
      </c>
      <c r="L239" s="181"/>
      <c r="M239" s="286" t="s">
        <v>1597</v>
      </c>
      <c r="N239" s="338"/>
      <c r="O239" s="461">
        <f>CompletedProjects[[#This Row],[Power Plant Size (MW) or Share]]*0.593*9057*211.9*10^(-9)</f>
        <v>0</v>
      </c>
      <c r="P239" s="337">
        <f>CompletedProjects[[#This Row],[Annual Emissions (MMTCO2)]]*40</f>
        <v>0</v>
      </c>
      <c r="Q239" s="169"/>
      <c r="R239" s="185"/>
      <c r="S239" s="258" t="s">
        <v>1563</v>
      </c>
      <c r="T239" s="185"/>
      <c r="U239" s="2"/>
      <c r="V239" s="2"/>
      <c r="Y239" s="2"/>
    </row>
    <row r="240" spans="1:25" ht="28.7">
      <c r="A240" s="167" t="s">
        <v>239</v>
      </c>
      <c r="B240" s="171" t="s">
        <v>1061</v>
      </c>
      <c r="C240" s="171" t="s">
        <v>337</v>
      </c>
      <c r="D240" s="172">
        <v>900000000</v>
      </c>
      <c r="E240" s="171" t="s">
        <v>1062</v>
      </c>
      <c r="F240" s="178" t="s">
        <v>1137</v>
      </c>
      <c r="G240" s="262" t="s">
        <v>1136</v>
      </c>
      <c r="H240" s="187" t="s">
        <v>85</v>
      </c>
      <c r="I240" s="173" t="s">
        <v>284</v>
      </c>
      <c r="J240" s="173" t="s">
        <v>1498</v>
      </c>
      <c r="K240" s="240">
        <v>41367</v>
      </c>
      <c r="L240" s="171"/>
      <c r="M240" s="262" t="s">
        <v>1138</v>
      </c>
      <c r="N240" s="158">
        <v>660</v>
      </c>
      <c r="O240" s="461">
        <f>CompletedProjects[[#This Row],[Power Plant Size (MW) or Share]]*0.593*9057*211.9*10^(-9)</f>
        <v>0.75112800305400007</v>
      </c>
      <c r="P240" s="337">
        <f>CompletedProjects[[#This Row],[Annual Emissions (MMTCO2)]]*40</f>
        <v>30.045120122160004</v>
      </c>
      <c r="Q240" s="176"/>
      <c r="R240" s="178"/>
      <c r="S240" s="167"/>
      <c r="T240" s="178"/>
      <c r="U240" s="2"/>
      <c r="V240" s="2"/>
      <c r="Y240" s="2"/>
    </row>
    <row r="241" spans="1:25" ht="28.7">
      <c r="A241" s="167" t="s">
        <v>239</v>
      </c>
      <c r="B241" s="182" t="s">
        <v>1061</v>
      </c>
      <c r="C241" s="182" t="s">
        <v>337</v>
      </c>
      <c r="D241" s="172">
        <v>160000000</v>
      </c>
      <c r="E241" s="171" t="s">
        <v>1073</v>
      </c>
      <c r="F241" s="178" t="s">
        <v>1416</v>
      </c>
      <c r="G241" s="267" t="s">
        <v>1365</v>
      </c>
      <c r="H241" s="183" t="s">
        <v>65</v>
      </c>
      <c r="I241" s="173" t="s">
        <v>284</v>
      </c>
      <c r="J241" s="173" t="s">
        <v>1498</v>
      </c>
      <c r="K241" s="242">
        <v>41386</v>
      </c>
      <c r="L241" s="171" t="s">
        <v>1429</v>
      </c>
      <c r="M241" s="267"/>
      <c r="N241" s="338">
        <v>1100</v>
      </c>
      <c r="O241" s="461">
        <f>CompletedProjects[[#This Row],[Power Plant Size (MW) or Share]]*0.593*9057*211.9*10^(-9)</f>
        <v>1.2518800050900001</v>
      </c>
      <c r="P241" s="337">
        <f>CompletedProjects[[#This Row],[Annual Emissions (MMTCO2)]]*40</f>
        <v>50.075200203600005</v>
      </c>
      <c r="Q241" s="169"/>
      <c r="R241" s="185"/>
      <c r="S241" s="181"/>
      <c r="T241" s="185"/>
      <c r="U241" s="2"/>
      <c r="V241" s="2"/>
      <c r="Y241" s="2"/>
    </row>
    <row r="242" spans="1:25" ht="100.35">
      <c r="A242" s="167" t="s">
        <v>239</v>
      </c>
      <c r="B242" s="189" t="s">
        <v>1061</v>
      </c>
      <c r="C242" s="189" t="s">
        <v>337</v>
      </c>
      <c r="D242" s="172">
        <v>318000000</v>
      </c>
      <c r="E242" s="179" t="s">
        <v>1139</v>
      </c>
      <c r="F242" s="179" t="s">
        <v>1337</v>
      </c>
      <c r="G242" s="179" t="s">
        <v>1714</v>
      </c>
      <c r="H242" s="179" t="s">
        <v>85</v>
      </c>
      <c r="I242" s="180" t="s">
        <v>283</v>
      </c>
      <c r="J242" s="179" t="s">
        <v>26</v>
      </c>
      <c r="K242" s="245">
        <v>41417</v>
      </c>
      <c r="L242" s="262"/>
      <c r="M242" s="477" t="s">
        <v>1715</v>
      </c>
      <c r="N242" s="157">
        <v>300</v>
      </c>
      <c r="O242" s="461">
        <f>CompletedProjects[[#This Row],[Power Plant Size (MW) or Share]]*0.593*9057*211.9*10^(-9)</f>
        <v>0.34142181957000001</v>
      </c>
      <c r="P242" s="337">
        <f>CompletedProjects[[#This Row],[Annual Emissions (MMTCO2)]]*40</f>
        <v>13.656872782800001</v>
      </c>
      <c r="Q242" s="190"/>
      <c r="R242" s="191"/>
      <c r="S242" s="181"/>
      <c r="T242" s="191"/>
      <c r="U242" s="2"/>
      <c r="V242" s="2"/>
      <c r="Y242" s="2"/>
    </row>
    <row r="243" spans="1:25" ht="157.69999999999999">
      <c r="A243" s="258" t="s">
        <v>239</v>
      </c>
      <c r="B243" s="259" t="s">
        <v>1061</v>
      </c>
      <c r="C243" s="258" t="s">
        <v>337</v>
      </c>
      <c r="D243" s="172">
        <v>600000000</v>
      </c>
      <c r="E243" s="258" t="s">
        <v>1598</v>
      </c>
      <c r="F243" s="259" t="s">
        <v>1532</v>
      </c>
      <c r="G243" s="285" t="s">
        <v>1533</v>
      </c>
      <c r="H243" s="259" t="s">
        <v>65</v>
      </c>
      <c r="I243" s="181" t="s">
        <v>283</v>
      </c>
      <c r="J243" s="181" t="s">
        <v>1534</v>
      </c>
      <c r="K243" s="242">
        <v>41239</v>
      </c>
      <c r="L243" s="181"/>
      <c r="M243" s="286"/>
      <c r="N243" s="338">
        <v>2640</v>
      </c>
      <c r="O243" s="461">
        <f>CompletedProjects[[#This Row],[Power Plant Size (MW) or Share]]*0.593*9057*211.9*10^(-9)</f>
        <v>3.0045120122160003</v>
      </c>
      <c r="P243" s="337">
        <f>CompletedProjects[[#This Row],[Annual Emissions (MMTCO2)]]*40</f>
        <v>120.18048048864001</v>
      </c>
      <c r="Q243" s="169"/>
      <c r="R243" s="185"/>
      <c r="S243" s="258" t="s">
        <v>1563</v>
      </c>
      <c r="T243" s="185"/>
      <c r="U243" s="2"/>
      <c r="V243" s="2"/>
      <c r="Y243" s="2"/>
    </row>
    <row r="244" spans="1:25" ht="129">
      <c r="A244" s="167" t="s">
        <v>239</v>
      </c>
      <c r="B244" s="171" t="s">
        <v>1061</v>
      </c>
      <c r="C244" s="171" t="s">
        <v>337</v>
      </c>
      <c r="D244" s="172">
        <f>195250000/7</f>
        <v>27892857.142857142</v>
      </c>
      <c r="E244" s="171" t="s">
        <v>35</v>
      </c>
      <c r="F244" s="173" t="s">
        <v>1074</v>
      </c>
      <c r="G244" s="262" t="s">
        <v>1018</v>
      </c>
      <c r="H244" s="180" t="s">
        <v>63</v>
      </c>
      <c r="I244" s="180" t="s">
        <v>283</v>
      </c>
      <c r="J244" s="188" t="s">
        <v>26</v>
      </c>
      <c r="K244" s="240">
        <v>41618</v>
      </c>
      <c r="L244" s="171" t="s">
        <v>1085</v>
      </c>
      <c r="M244" s="262"/>
      <c r="N244" s="463">
        <v>1200</v>
      </c>
      <c r="O244" s="461">
        <f>CompletedProjects[[#This Row],[Power Plant Size (MW) or Share]]*0.593*9057*211.9*10^(-9)</f>
        <v>1.36568727828</v>
      </c>
      <c r="P244" s="337">
        <f>CompletedProjects[[#This Row],[Annual Emissions (MMTCO2)]]*40</f>
        <v>54.627491131200003</v>
      </c>
      <c r="Q244" s="176"/>
      <c r="R244" s="178"/>
      <c r="S244" s="167"/>
      <c r="T244" s="178"/>
      <c r="U244" s="2"/>
      <c r="V244" s="2"/>
      <c r="Y244" s="2"/>
    </row>
    <row r="245" spans="1:25" ht="86">
      <c r="A245" s="167" t="s">
        <v>239</v>
      </c>
      <c r="B245" s="171" t="s">
        <v>1061</v>
      </c>
      <c r="C245" s="171" t="s">
        <v>337</v>
      </c>
      <c r="D245" s="172">
        <v>234000000</v>
      </c>
      <c r="E245" s="171" t="s">
        <v>1075</v>
      </c>
      <c r="F245" s="173" t="s">
        <v>1438</v>
      </c>
      <c r="G245" s="262" t="s">
        <v>1083</v>
      </c>
      <c r="H245" s="180" t="s">
        <v>63</v>
      </c>
      <c r="I245" s="180" t="s">
        <v>283</v>
      </c>
      <c r="J245" s="188" t="s">
        <v>26</v>
      </c>
      <c r="K245" s="240">
        <v>42004</v>
      </c>
      <c r="L245" s="171" t="s">
        <v>1380</v>
      </c>
      <c r="M245" s="262"/>
      <c r="N245" s="256">
        <v>200</v>
      </c>
      <c r="O245" s="461">
        <f>CompletedProjects[[#This Row],[Power Plant Size (MW) or Share]]*0.593*9057*211.9*10^(-9)</f>
        <v>0.22761454638</v>
      </c>
      <c r="P245" s="337">
        <f>CompletedProjects[[#This Row],[Annual Emissions (MMTCO2)]]*40</f>
        <v>9.1045818551999993</v>
      </c>
      <c r="Q245" s="176"/>
      <c r="R245" s="178"/>
      <c r="S245" s="167"/>
      <c r="T245" s="178"/>
      <c r="U245" s="2"/>
      <c r="V245" s="2"/>
      <c r="Y245" s="2"/>
    </row>
    <row r="246" spans="1:25" ht="86">
      <c r="A246" s="167" t="s">
        <v>239</v>
      </c>
      <c r="B246" s="186" t="s">
        <v>519</v>
      </c>
      <c r="C246" s="167" t="s">
        <v>464</v>
      </c>
      <c r="D246" s="172">
        <f>200000*'Dev Bank Share by Country'!$K$38</f>
        <v>12902</v>
      </c>
      <c r="E246" s="173" t="s">
        <v>528</v>
      </c>
      <c r="F246" s="173" t="s">
        <v>529</v>
      </c>
      <c r="G246" s="262"/>
      <c r="H246" s="173" t="s">
        <v>239</v>
      </c>
      <c r="I246" s="180" t="s">
        <v>283</v>
      </c>
      <c r="J246" s="173" t="s">
        <v>26</v>
      </c>
      <c r="K246" s="241">
        <v>39729</v>
      </c>
      <c r="L246" s="183" t="s">
        <v>1709</v>
      </c>
      <c r="M246" s="262"/>
      <c r="N246" s="337"/>
      <c r="O246" s="461">
        <f>CompletedProjects[[#This Row],[Power Plant Size (MW) or Share]]*0.593*9057*211.9*10^(-9)</f>
        <v>0</v>
      </c>
      <c r="P246" s="337">
        <f>CompletedProjects[[#This Row],[Annual Emissions (MMTCO2)]]*40</f>
        <v>0</v>
      </c>
      <c r="Q246" s="176"/>
      <c r="R246" s="178" t="s">
        <v>530</v>
      </c>
      <c r="S246" s="167"/>
      <c r="T246" s="178"/>
      <c r="U246" s="2"/>
      <c r="V246" s="2"/>
      <c r="Y246" s="2"/>
    </row>
    <row r="247" spans="1:25" ht="157.69999999999999">
      <c r="A247" s="258" t="s">
        <v>239</v>
      </c>
      <c r="B247" s="259" t="s">
        <v>1061</v>
      </c>
      <c r="C247" s="258" t="s">
        <v>337</v>
      </c>
      <c r="D247" s="321">
        <v>510000000</v>
      </c>
      <c r="E247" s="258" t="s">
        <v>1139</v>
      </c>
      <c r="F247" s="259" t="s">
        <v>1716</v>
      </c>
      <c r="G247" s="312" t="s">
        <v>1600</v>
      </c>
      <c r="H247" s="259" t="s">
        <v>85</v>
      </c>
      <c r="I247" s="173" t="s">
        <v>283</v>
      </c>
      <c r="J247" s="181" t="s">
        <v>1534</v>
      </c>
      <c r="K247" s="242">
        <v>42061</v>
      </c>
      <c r="L247" s="181"/>
      <c r="M247" s="285" t="s">
        <v>1601</v>
      </c>
      <c r="N247" s="338">
        <v>400</v>
      </c>
      <c r="O247" s="461">
        <f>CompletedProjects[[#This Row],[Power Plant Size (MW) or Share]]*0.593*9057*211.9*10^(-9)</f>
        <v>0.45522909276000001</v>
      </c>
      <c r="P247" s="337">
        <f>CompletedProjects[[#This Row],[Annual Emissions (MMTCO2)]]*40</f>
        <v>18.209163710399999</v>
      </c>
      <c r="Q247" s="169"/>
      <c r="R247" s="185"/>
      <c r="S247" s="258" t="s">
        <v>1563</v>
      </c>
      <c r="T247" s="185"/>
      <c r="U247" s="2"/>
      <c r="V247" s="2"/>
      <c r="Y247" s="2"/>
    </row>
    <row r="248" spans="1:25" ht="57.35">
      <c r="A248" s="167" t="s">
        <v>239</v>
      </c>
      <c r="B248" s="182" t="s">
        <v>1061</v>
      </c>
      <c r="C248" s="182" t="s">
        <v>337</v>
      </c>
      <c r="D248" s="321">
        <v>880000000</v>
      </c>
      <c r="E248" s="183" t="s">
        <v>1353</v>
      </c>
      <c r="F248" s="183" t="s">
        <v>1346</v>
      </c>
      <c r="G248" s="267"/>
      <c r="H248" s="183" t="s">
        <v>85</v>
      </c>
      <c r="I248" s="180" t="s">
        <v>283</v>
      </c>
      <c r="J248" s="183" t="s">
        <v>26</v>
      </c>
      <c r="K248" s="242">
        <v>42217</v>
      </c>
      <c r="L248" s="183"/>
      <c r="M248" s="267" t="s">
        <v>1363</v>
      </c>
      <c r="N248" s="338">
        <v>380</v>
      </c>
      <c r="O248" s="461">
        <f>CompletedProjects[[#This Row],[Power Plant Size (MW) or Share]]*0.593*9057*211.9*10^(-9)</f>
        <v>0.43246763812200001</v>
      </c>
      <c r="P248" s="337">
        <f>CompletedProjects[[#This Row],[Annual Emissions (MMTCO2)]]*40</f>
        <v>17.298705524879999</v>
      </c>
      <c r="Q248" s="169"/>
      <c r="R248" s="185"/>
      <c r="S248" s="181"/>
      <c r="T248" s="185"/>
      <c r="U248" s="2"/>
      <c r="V248" s="2"/>
      <c r="Y248" s="2"/>
    </row>
    <row r="249" spans="1:25" ht="86">
      <c r="A249" s="167" t="s">
        <v>239</v>
      </c>
      <c r="B249" s="182" t="s">
        <v>1061</v>
      </c>
      <c r="C249" s="182" t="s">
        <v>337</v>
      </c>
      <c r="D249" s="321">
        <v>984000000</v>
      </c>
      <c r="E249" s="173" t="s">
        <v>1640</v>
      </c>
      <c r="F249" s="173" t="s">
        <v>1641</v>
      </c>
      <c r="G249" s="262" t="s">
        <v>1654</v>
      </c>
      <c r="H249" s="173" t="s">
        <v>473</v>
      </c>
      <c r="I249" s="173" t="s">
        <v>283</v>
      </c>
      <c r="J249" s="173" t="s">
        <v>26</v>
      </c>
      <c r="K249" s="240">
        <v>42248</v>
      </c>
      <c r="L249" s="183"/>
      <c r="M249" s="305" t="s">
        <v>1659</v>
      </c>
      <c r="N249" s="337">
        <v>600</v>
      </c>
      <c r="O249" s="461">
        <f>CompletedProjects[[#This Row],[Power Plant Size (MW) or Share]]*0.593*9057*211.9*10^(-9)</f>
        <v>0.68284363914000001</v>
      </c>
      <c r="P249" s="337">
        <f>CompletedProjects[[#This Row],[Annual Emissions (MMTCO2)]]*40</f>
        <v>27.313745565600001</v>
      </c>
      <c r="Q249" s="176"/>
      <c r="R249" s="178"/>
      <c r="S249" s="167"/>
      <c r="T249" s="178"/>
      <c r="U249" s="2"/>
      <c r="V249" s="2"/>
      <c r="Y249" s="2"/>
    </row>
    <row r="250" spans="1:25" ht="57.35">
      <c r="A250" s="167" t="s">
        <v>239</v>
      </c>
      <c r="B250" s="171" t="s">
        <v>1087</v>
      </c>
      <c r="C250" s="171" t="s">
        <v>336</v>
      </c>
      <c r="D250" s="172">
        <v>891000000</v>
      </c>
      <c r="E250" s="196" t="s">
        <v>1089</v>
      </c>
      <c r="F250" s="173" t="s">
        <v>1095</v>
      </c>
      <c r="G250" s="262" t="s">
        <v>1103</v>
      </c>
      <c r="H250" s="180" t="s">
        <v>1111</v>
      </c>
      <c r="I250" s="180" t="s">
        <v>283</v>
      </c>
      <c r="J250" s="171" t="s">
        <v>26</v>
      </c>
      <c r="K250" s="240">
        <v>39814</v>
      </c>
      <c r="L250" s="197"/>
      <c r="M250" s="262" t="s">
        <v>1119</v>
      </c>
      <c r="N250" s="256">
        <v>600</v>
      </c>
      <c r="O250" s="461">
        <f>CompletedProjects[[#This Row],[Power Plant Size (MW) or Share]]*0.593*9057*211.9*10^(-9)</f>
        <v>0.68284363914000001</v>
      </c>
      <c r="P250" s="337">
        <f>CompletedProjects[[#This Row],[Annual Emissions (MMTCO2)]]*40</f>
        <v>27.313745565600001</v>
      </c>
      <c r="Q250" s="176"/>
      <c r="R250" s="171"/>
      <c r="S250" s="167"/>
      <c r="T250" s="171"/>
      <c r="U250" s="2"/>
      <c r="V250" s="2"/>
      <c r="Y250" s="2"/>
    </row>
    <row r="251" spans="1:25" ht="57.35">
      <c r="A251" s="167" t="s">
        <v>239</v>
      </c>
      <c r="B251" s="171" t="s">
        <v>1087</v>
      </c>
      <c r="C251" s="171" t="s">
        <v>336</v>
      </c>
      <c r="D251" s="172">
        <v>284000000</v>
      </c>
      <c r="E251" s="171" t="s">
        <v>1062</v>
      </c>
      <c r="F251" s="173" t="s">
        <v>1065</v>
      </c>
      <c r="G251" s="262" t="s">
        <v>1076</v>
      </c>
      <c r="H251" s="180" t="s">
        <v>85</v>
      </c>
      <c r="I251" s="180" t="s">
        <v>283</v>
      </c>
      <c r="J251" s="171" t="s">
        <v>26</v>
      </c>
      <c r="K251" s="240">
        <v>39845</v>
      </c>
      <c r="L251" s="197"/>
      <c r="M251" s="262" t="s">
        <v>1118</v>
      </c>
      <c r="N251" s="256">
        <v>660</v>
      </c>
      <c r="O251" s="461">
        <f>CompletedProjects[[#This Row],[Power Plant Size (MW) or Share]]*0.593*9057*211.9*10^(-9)</f>
        <v>0.75112800305400007</v>
      </c>
      <c r="P251" s="337">
        <f>CompletedProjects[[#This Row],[Annual Emissions (MMTCO2)]]*40</f>
        <v>30.045120122160004</v>
      </c>
      <c r="Q251" s="176"/>
      <c r="R251" s="171" t="s">
        <v>1116</v>
      </c>
      <c r="S251" s="167"/>
      <c r="T251" s="171"/>
      <c r="U251" s="2"/>
      <c r="V251" s="2"/>
      <c r="Y251" s="2"/>
    </row>
    <row r="252" spans="1:25" ht="57.35">
      <c r="A252" s="181" t="s">
        <v>239</v>
      </c>
      <c r="B252" s="182" t="s">
        <v>445</v>
      </c>
      <c r="C252" s="182" t="s">
        <v>464</v>
      </c>
      <c r="D252" s="172">
        <f>450000000*'Dev Bank Share by Country'!$G$38</f>
        <v>10829349.156513169</v>
      </c>
      <c r="E252" s="183" t="s">
        <v>1395</v>
      </c>
      <c r="F252" s="183" t="s">
        <v>1393</v>
      </c>
      <c r="G252" s="262" t="s">
        <v>1394</v>
      </c>
      <c r="H252" s="183" t="s">
        <v>65</v>
      </c>
      <c r="I252" s="180" t="s">
        <v>283</v>
      </c>
      <c r="J252" s="183" t="s">
        <v>26</v>
      </c>
      <c r="K252" s="242">
        <v>39562</v>
      </c>
      <c r="L252" s="183" t="s">
        <v>1396</v>
      </c>
      <c r="M252" s="262" t="s">
        <v>768</v>
      </c>
      <c r="N252" s="338">
        <f>4000/3/20</f>
        <v>66.666666666666657</v>
      </c>
      <c r="O252" s="461">
        <f>CompletedProjects[[#This Row],[Power Plant Size (MW) or Share]]*0.593*9057*211.9*10^(-9)</f>
        <v>7.5871515459999983E-2</v>
      </c>
      <c r="P252" s="337">
        <f>CompletedProjects[[#This Row],[Annual Emissions (MMTCO2)]]*40</f>
        <v>3.0348606183999993</v>
      </c>
      <c r="Q252" s="169"/>
      <c r="R252" s="178"/>
      <c r="S252" s="181"/>
      <c r="T252" s="178"/>
      <c r="U252" s="2"/>
      <c r="V252" s="2"/>
      <c r="Y252" s="2"/>
    </row>
    <row r="253" spans="1:25" ht="57.35">
      <c r="A253" s="167" t="s">
        <v>239</v>
      </c>
      <c r="B253" s="171" t="s">
        <v>1087</v>
      </c>
      <c r="C253" s="171" t="s">
        <v>336</v>
      </c>
      <c r="D253" s="172">
        <v>330000000</v>
      </c>
      <c r="E253" s="171" t="s">
        <v>1062</v>
      </c>
      <c r="F253" s="173" t="s">
        <v>1099</v>
      </c>
      <c r="G253" s="262" t="s">
        <v>1076</v>
      </c>
      <c r="H253" s="180" t="s">
        <v>85</v>
      </c>
      <c r="I253" s="180" t="s">
        <v>283</v>
      </c>
      <c r="J253" s="171" t="s">
        <v>26</v>
      </c>
      <c r="K253" s="240">
        <v>39869</v>
      </c>
      <c r="L253" s="197"/>
      <c r="M253" s="262" t="s">
        <v>1118</v>
      </c>
      <c r="N253" s="256">
        <v>600</v>
      </c>
      <c r="O253" s="461">
        <f>CompletedProjects[[#This Row],[Power Plant Size (MW) or Share]]*0.593*9057*211.9*10^(-9)</f>
        <v>0.68284363914000001</v>
      </c>
      <c r="P253" s="337">
        <f>CompletedProjects[[#This Row],[Annual Emissions (MMTCO2)]]*40</f>
        <v>27.313745565600001</v>
      </c>
      <c r="Q253" s="176"/>
      <c r="R253" s="171" t="s">
        <v>1115</v>
      </c>
      <c r="S253" s="167"/>
      <c r="T253" s="171"/>
      <c r="U253" s="2"/>
      <c r="V253" s="2"/>
      <c r="Y253" s="2"/>
    </row>
    <row r="254" spans="1:25" ht="28.7">
      <c r="A254" s="167" t="s">
        <v>239</v>
      </c>
      <c r="B254" s="167" t="s">
        <v>1087</v>
      </c>
      <c r="C254" s="171" t="s">
        <v>336</v>
      </c>
      <c r="D254" s="172">
        <v>49000000</v>
      </c>
      <c r="E254" s="167" t="s">
        <v>1090</v>
      </c>
      <c r="F254" s="173" t="s">
        <v>1096</v>
      </c>
      <c r="G254" s="262" t="s">
        <v>1104</v>
      </c>
      <c r="H254" s="167" t="s">
        <v>65</v>
      </c>
      <c r="I254" s="180" t="s">
        <v>283</v>
      </c>
      <c r="J254" s="171" t="s">
        <v>26</v>
      </c>
      <c r="K254" s="240">
        <v>39904</v>
      </c>
      <c r="L254" s="171"/>
      <c r="M254" s="296"/>
      <c r="N254" s="256">
        <v>1080</v>
      </c>
      <c r="O254" s="461">
        <f>CompletedProjects[[#This Row],[Power Plant Size (MW) or Share]]*0.593*9057*211.9*10^(-9)</f>
        <v>1.2291185504519999</v>
      </c>
      <c r="P254" s="337">
        <f>CompletedProjects[[#This Row],[Annual Emissions (MMTCO2)]]*40</f>
        <v>49.164742018079998</v>
      </c>
      <c r="Q254" s="176"/>
      <c r="R254" s="178"/>
      <c r="S254" s="167"/>
      <c r="T254" s="178"/>
      <c r="U254" s="2"/>
      <c r="V254" s="2"/>
      <c r="Y254" s="2"/>
    </row>
    <row r="255" spans="1:25" ht="28.7">
      <c r="A255" s="167" t="s">
        <v>239</v>
      </c>
      <c r="B255" s="167" t="s">
        <v>1087</v>
      </c>
      <c r="C255" s="171" t="s">
        <v>336</v>
      </c>
      <c r="D255" s="172">
        <v>481000000</v>
      </c>
      <c r="E255" s="167" t="s">
        <v>1062</v>
      </c>
      <c r="F255" s="173" t="s">
        <v>1098</v>
      </c>
      <c r="G255" s="262" t="s">
        <v>1106</v>
      </c>
      <c r="H255" s="167" t="s">
        <v>85</v>
      </c>
      <c r="I255" s="180" t="s">
        <v>283</v>
      </c>
      <c r="J255" s="171" t="s">
        <v>26</v>
      </c>
      <c r="K255" s="244">
        <v>39937</v>
      </c>
      <c r="L255" s="171" t="s">
        <v>1114</v>
      </c>
      <c r="M255" s="452" t="s">
        <v>1135</v>
      </c>
      <c r="N255" s="256">
        <v>1050</v>
      </c>
      <c r="O255" s="461">
        <f>CompletedProjects[[#This Row],[Power Plant Size (MW) or Share]]*0.593*9057*211.9*10^(-9)</f>
        <v>1.1949763684949999</v>
      </c>
      <c r="P255" s="337">
        <f>CompletedProjects[[#This Row],[Annual Emissions (MMTCO2)]]*40</f>
        <v>47.799054739799999</v>
      </c>
      <c r="Q255" s="176"/>
      <c r="R255" s="178"/>
      <c r="S255" s="167"/>
      <c r="T255" s="178"/>
      <c r="U255" s="2"/>
      <c r="V255" s="2"/>
      <c r="Y255" s="2"/>
    </row>
    <row r="256" spans="1:25" ht="28.7">
      <c r="A256" s="167" t="s">
        <v>239</v>
      </c>
      <c r="B256" s="167" t="s">
        <v>1087</v>
      </c>
      <c r="C256" s="171" t="s">
        <v>336</v>
      </c>
      <c r="D256" s="172">
        <v>124000000</v>
      </c>
      <c r="E256" s="167" t="s">
        <v>1062</v>
      </c>
      <c r="F256" s="173" t="s">
        <v>1097</v>
      </c>
      <c r="G256" s="262" t="s">
        <v>1105</v>
      </c>
      <c r="H256" s="167" t="s">
        <v>85</v>
      </c>
      <c r="I256" s="180" t="s">
        <v>283</v>
      </c>
      <c r="J256" s="171" t="s">
        <v>26</v>
      </c>
      <c r="K256" s="244">
        <v>39937</v>
      </c>
      <c r="L256" s="171" t="s">
        <v>1113</v>
      </c>
      <c r="M256" s="452" t="s">
        <v>1135</v>
      </c>
      <c r="N256" s="256">
        <v>220</v>
      </c>
      <c r="O256" s="461">
        <f>CompletedProjects[[#This Row],[Power Plant Size (MW) or Share]]*0.593*9057*211.9*10^(-9)</f>
        <v>0.25037600101799995</v>
      </c>
      <c r="P256" s="337">
        <f>CompletedProjects[[#This Row],[Annual Emissions (MMTCO2)]]*40</f>
        <v>10.015040040719999</v>
      </c>
      <c r="Q256" s="176"/>
      <c r="R256" s="178"/>
      <c r="S256" s="167"/>
      <c r="T256" s="178"/>
      <c r="U256" s="2"/>
      <c r="V256" s="2"/>
      <c r="Y256" s="2"/>
    </row>
    <row r="257" spans="1:25" ht="71.7">
      <c r="A257" s="167" t="s">
        <v>239</v>
      </c>
      <c r="B257" s="189" t="s">
        <v>1087</v>
      </c>
      <c r="C257" s="189" t="s">
        <v>336</v>
      </c>
      <c r="D257" s="172">
        <v>300000000</v>
      </c>
      <c r="E257" s="179" t="s">
        <v>1338</v>
      </c>
      <c r="F257" s="179" t="s">
        <v>1441</v>
      </c>
      <c r="G257" s="271"/>
      <c r="H257" s="179" t="s">
        <v>63</v>
      </c>
      <c r="I257" s="180" t="s">
        <v>283</v>
      </c>
      <c r="J257" s="179" t="s">
        <v>26</v>
      </c>
      <c r="K257" s="245">
        <v>40087</v>
      </c>
      <c r="L257" s="179"/>
      <c r="M257" s="274" t="s">
        <v>1359</v>
      </c>
      <c r="N257" s="157">
        <v>1245</v>
      </c>
      <c r="O257" s="461">
        <f>CompletedProjects[[#This Row],[Power Plant Size (MW) or Share]]*0.593*9057*211.9*10^(-9)</f>
        <v>1.4169005512155002</v>
      </c>
      <c r="P257" s="337">
        <f>CompletedProjects[[#This Row],[Annual Emissions (MMTCO2)]]*40</f>
        <v>56.676022048620005</v>
      </c>
      <c r="Q257" s="190"/>
      <c r="R257" s="191"/>
      <c r="S257" s="181"/>
      <c r="T257" s="191"/>
      <c r="U257" s="2"/>
      <c r="V257" s="2"/>
      <c r="Y257" s="2"/>
    </row>
    <row r="258" spans="1:25" ht="71.7">
      <c r="A258" s="167" t="s">
        <v>239</v>
      </c>
      <c r="B258" s="189" t="s">
        <v>1087</v>
      </c>
      <c r="C258" s="189" t="s">
        <v>336</v>
      </c>
      <c r="D258" s="172">
        <v>510000000</v>
      </c>
      <c r="E258" s="179" t="s">
        <v>1340</v>
      </c>
      <c r="F258" s="179" t="s">
        <v>1339</v>
      </c>
      <c r="G258" s="271"/>
      <c r="H258" s="179" t="s">
        <v>63</v>
      </c>
      <c r="I258" s="180" t="s">
        <v>283</v>
      </c>
      <c r="J258" s="179" t="s">
        <v>26</v>
      </c>
      <c r="K258" s="245">
        <v>40179</v>
      </c>
      <c r="L258" s="179"/>
      <c r="M258" s="262" t="s">
        <v>1360</v>
      </c>
      <c r="N258" s="157">
        <v>600</v>
      </c>
      <c r="O258" s="461">
        <f>CompletedProjects[[#This Row],[Power Plant Size (MW) or Share]]*0.593*9057*211.9*10^(-9)</f>
        <v>0.68284363914000001</v>
      </c>
      <c r="P258" s="337">
        <f>CompletedProjects[[#This Row],[Annual Emissions (MMTCO2)]]*40</f>
        <v>27.313745565600001</v>
      </c>
      <c r="Q258" s="235"/>
      <c r="R258" s="191"/>
      <c r="S258" s="181"/>
      <c r="T258" s="191"/>
      <c r="U258" s="2"/>
      <c r="V258" s="2"/>
      <c r="Y258" s="2"/>
    </row>
    <row r="259" spans="1:25" ht="28.7">
      <c r="A259" s="181" t="s">
        <v>239</v>
      </c>
      <c r="B259" s="182" t="s">
        <v>1087</v>
      </c>
      <c r="C259" s="182" t="s">
        <v>336</v>
      </c>
      <c r="D259" s="172">
        <v>88000000</v>
      </c>
      <c r="E259" s="205" t="s">
        <v>1068</v>
      </c>
      <c r="F259" s="173" t="s">
        <v>1069</v>
      </c>
      <c r="G259" s="262" t="s">
        <v>1078</v>
      </c>
      <c r="H259" s="180" t="s">
        <v>65</v>
      </c>
      <c r="I259" s="180" t="s">
        <v>283</v>
      </c>
      <c r="J259" s="188" t="s">
        <v>26</v>
      </c>
      <c r="K259" s="240">
        <v>40499</v>
      </c>
      <c r="L259" s="171" t="s">
        <v>1364</v>
      </c>
      <c r="M259" s="267"/>
      <c r="N259" s="463">
        <v>660</v>
      </c>
      <c r="O259" s="461">
        <f>CompletedProjects[[#This Row],[Power Plant Size (MW) or Share]]*0.593*9057*211.9*10^(-9)</f>
        <v>0.75112800305400007</v>
      </c>
      <c r="P259" s="337">
        <f>CompletedProjects[[#This Row],[Annual Emissions (MMTCO2)]]*40</f>
        <v>30.045120122160004</v>
      </c>
      <c r="Q259" s="169"/>
      <c r="R259" s="185"/>
      <c r="S259" s="181"/>
      <c r="T259" s="185"/>
      <c r="U259" s="2"/>
      <c r="V259" s="2"/>
      <c r="Y259" s="2"/>
    </row>
    <row r="260" spans="1:25" ht="71.7">
      <c r="A260" s="167" t="s">
        <v>239</v>
      </c>
      <c r="B260" s="171" t="s">
        <v>1087</v>
      </c>
      <c r="C260" s="171" t="s">
        <v>336</v>
      </c>
      <c r="D260" s="172">
        <f>(50000000000*0.022069726)/4</f>
        <v>275871575</v>
      </c>
      <c r="E260" s="171" t="s">
        <v>425</v>
      </c>
      <c r="F260" s="173" t="s">
        <v>1070</v>
      </c>
      <c r="G260" s="262" t="s">
        <v>1079</v>
      </c>
      <c r="H260" s="180" t="s">
        <v>65</v>
      </c>
      <c r="I260" s="180" t="s">
        <v>283</v>
      </c>
      <c r="J260" s="171" t="s">
        <v>26</v>
      </c>
      <c r="K260" s="240">
        <v>40513</v>
      </c>
      <c r="L260" s="171" t="s">
        <v>1354</v>
      </c>
      <c r="M260" s="297"/>
      <c r="N260" s="256">
        <f>3960/4</f>
        <v>990</v>
      </c>
      <c r="O260" s="461">
        <f>CompletedProjects[[#This Row],[Power Plant Size (MW) or Share]]*0.593*9057*211.9*10^(-9)</f>
        <v>1.1266920045809998</v>
      </c>
      <c r="P260" s="337">
        <f>CompletedProjects[[#This Row],[Annual Emissions (MMTCO2)]]*40</f>
        <v>45.067680183239993</v>
      </c>
      <c r="Q260" s="176"/>
      <c r="R260" s="178"/>
      <c r="S260" s="167"/>
      <c r="T260" s="178"/>
      <c r="U260" s="2"/>
      <c r="V260" s="2"/>
      <c r="Y260" s="2"/>
    </row>
    <row r="261" spans="1:25" ht="57.35">
      <c r="A261" s="167" t="s">
        <v>239</v>
      </c>
      <c r="B261" s="171" t="s">
        <v>1087</v>
      </c>
      <c r="C261" s="171" t="s">
        <v>336</v>
      </c>
      <c r="D261" s="172">
        <f>1000000000/3</f>
        <v>333333333.33333331</v>
      </c>
      <c r="E261" s="171" t="s">
        <v>1132</v>
      </c>
      <c r="F261" s="178" t="s">
        <v>1324</v>
      </c>
      <c r="G261" s="262" t="s">
        <v>1134</v>
      </c>
      <c r="H261" s="187" t="s">
        <v>399</v>
      </c>
      <c r="I261" s="180" t="s">
        <v>283</v>
      </c>
      <c r="J261" s="183" t="s">
        <v>26</v>
      </c>
      <c r="K261" s="240">
        <v>40527</v>
      </c>
      <c r="L261" s="171" t="s">
        <v>1305</v>
      </c>
      <c r="M261" s="262" t="s">
        <v>1142</v>
      </c>
      <c r="N261" s="158"/>
      <c r="O261" s="461">
        <f>CompletedProjects[[#This Row],[Power Plant Size (MW) or Share]]*0.593*9057*211.9*10^(-9)</f>
        <v>0</v>
      </c>
      <c r="P261" s="337">
        <f>CompletedProjects[[#This Row],[Annual Emissions (MMTCO2)]]*40</f>
        <v>0</v>
      </c>
      <c r="Q261" s="176"/>
      <c r="R261" s="178"/>
      <c r="S261" s="167"/>
      <c r="T261" s="178"/>
      <c r="U261" s="2"/>
      <c r="V261" s="2"/>
      <c r="Y261" s="2"/>
    </row>
    <row r="262" spans="1:25" ht="57.35">
      <c r="A262" s="167" t="s">
        <v>239</v>
      </c>
      <c r="B262" s="171" t="s">
        <v>1087</v>
      </c>
      <c r="C262" s="171" t="s">
        <v>336</v>
      </c>
      <c r="D262" s="172">
        <v>1000000000</v>
      </c>
      <c r="E262" s="171" t="s">
        <v>1092</v>
      </c>
      <c r="F262" s="173" t="s">
        <v>1101</v>
      </c>
      <c r="G262" s="262" t="s">
        <v>1108</v>
      </c>
      <c r="H262" s="180" t="s">
        <v>208</v>
      </c>
      <c r="I262" s="180" t="s">
        <v>283</v>
      </c>
      <c r="J262" s="171" t="s">
        <v>26</v>
      </c>
      <c r="K262" s="242">
        <v>40909</v>
      </c>
      <c r="L262" s="171" t="s">
        <v>1117</v>
      </c>
      <c r="M262" s="297"/>
      <c r="N262" s="256">
        <v>660</v>
      </c>
      <c r="O262" s="461">
        <f>CompletedProjects[[#This Row],[Power Plant Size (MW) or Share]]*0.593*9057*211.9*10^(-9)</f>
        <v>0.75112800305400007</v>
      </c>
      <c r="P262" s="337">
        <f>CompletedProjects[[#This Row],[Annual Emissions (MMTCO2)]]*40</f>
        <v>30.045120122160004</v>
      </c>
      <c r="Q262" s="176"/>
      <c r="R262" s="178"/>
      <c r="S262" s="167"/>
      <c r="T262" s="178"/>
      <c r="U262" s="2"/>
      <c r="V262" s="2"/>
      <c r="Y262" s="2"/>
    </row>
    <row r="263" spans="1:25" ht="43">
      <c r="A263" s="173" t="s">
        <v>239</v>
      </c>
      <c r="B263" s="171" t="s">
        <v>1088</v>
      </c>
      <c r="C263" s="171" t="s">
        <v>336</v>
      </c>
      <c r="D263" s="172">
        <v>344000000</v>
      </c>
      <c r="E263" s="196" t="s">
        <v>1094</v>
      </c>
      <c r="F263" s="173" t="s">
        <v>1102</v>
      </c>
      <c r="G263" s="262" t="s">
        <v>1418</v>
      </c>
      <c r="H263" s="171" t="s">
        <v>56</v>
      </c>
      <c r="I263" s="180" t="s">
        <v>283</v>
      </c>
      <c r="J263" s="171" t="s">
        <v>1112</v>
      </c>
      <c r="K263" s="242">
        <v>40912</v>
      </c>
      <c r="L263" s="183"/>
      <c r="M263" s="271" t="s">
        <v>1110</v>
      </c>
      <c r="N263" s="338">
        <v>350</v>
      </c>
      <c r="O263" s="461">
        <f>CompletedProjects[[#This Row],[Power Plant Size (MW) or Share]]*0.593*9057*211.9*10^(-9)</f>
        <v>0.39832545616499998</v>
      </c>
      <c r="P263" s="337">
        <f>CompletedProjects[[#This Row],[Annual Emissions (MMTCO2)]]*40</f>
        <v>15.9330182466</v>
      </c>
      <c r="Q263" s="169"/>
      <c r="R263" s="200"/>
      <c r="S263" s="200"/>
      <c r="T263" s="200"/>
      <c r="U263" s="2"/>
      <c r="V263" s="2"/>
      <c r="Y263" s="2"/>
    </row>
    <row r="264" spans="1:25" ht="28.7">
      <c r="A264" s="167" t="s">
        <v>239</v>
      </c>
      <c r="B264" s="171" t="s">
        <v>1087</v>
      </c>
      <c r="C264" s="171" t="s">
        <v>336</v>
      </c>
      <c r="D264" s="172">
        <v>35750000</v>
      </c>
      <c r="E264" s="171" t="s">
        <v>1091</v>
      </c>
      <c r="F264" s="173" t="s">
        <v>1100</v>
      </c>
      <c r="G264" s="262" t="s">
        <v>1107</v>
      </c>
      <c r="H264" s="180" t="s">
        <v>63</v>
      </c>
      <c r="I264" s="180" t="s">
        <v>283</v>
      </c>
      <c r="J264" s="171" t="s">
        <v>26</v>
      </c>
      <c r="K264" s="240">
        <v>40914</v>
      </c>
      <c r="L264" s="171" t="s">
        <v>1382</v>
      </c>
      <c r="M264" s="262"/>
      <c r="N264" s="256">
        <v>25</v>
      </c>
      <c r="O264" s="461">
        <f>CompletedProjects[[#This Row],[Power Plant Size (MW) or Share]]*0.593*9057*211.9*10^(-9)</f>
        <v>2.8451818297500001E-2</v>
      </c>
      <c r="P264" s="337">
        <f>CompletedProjects[[#This Row],[Annual Emissions (MMTCO2)]]*40</f>
        <v>1.1380727318999999</v>
      </c>
      <c r="Q264" s="176"/>
      <c r="R264" s="178"/>
      <c r="S264" s="167"/>
      <c r="T264" s="178"/>
      <c r="U264" s="2"/>
      <c r="V264" s="2"/>
      <c r="Y264" s="2"/>
    </row>
    <row r="265" spans="1:25" ht="57.35">
      <c r="A265" s="167" t="s">
        <v>239</v>
      </c>
      <c r="B265" s="182" t="s">
        <v>511</v>
      </c>
      <c r="C265" s="182" t="s">
        <v>464</v>
      </c>
      <c r="D265" s="172">
        <f>18000000*'Dev Bank Share by Country'!$G$38</f>
        <v>433173.96626052674</v>
      </c>
      <c r="E265" s="173" t="s">
        <v>407</v>
      </c>
      <c r="F265" s="173" t="s">
        <v>407</v>
      </c>
      <c r="G265" s="262" t="s">
        <v>776</v>
      </c>
      <c r="H265" s="173" t="s">
        <v>408</v>
      </c>
      <c r="I265" s="180" t="s">
        <v>283</v>
      </c>
      <c r="J265" s="173" t="s">
        <v>409</v>
      </c>
      <c r="K265" s="241">
        <v>39254</v>
      </c>
      <c r="L265" s="173" t="s">
        <v>816</v>
      </c>
      <c r="M265" s="262"/>
      <c r="N265" s="256">
        <f>60/19</f>
        <v>3.1578947368421053</v>
      </c>
      <c r="O265" s="461">
        <f>CompletedProjects[[#This Row],[Power Plant Size (MW) or Share]]*0.593*9057*211.9*10^(-9)</f>
        <v>3.5939138902105262E-3</v>
      </c>
      <c r="P265" s="337">
        <f>CompletedProjects[[#This Row],[Annual Emissions (MMTCO2)]]*40</f>
        <v>0.14375655560842104</v>
      </c>
      <c r="Q265" s="167"/>
      <c r="R265" s="167" t="s">
        <v>636</v>
      </c>
      <c r="S265" s="167" t="s">
        <v>633</v>
      </c>
      <c r="T265" s="167"/>
      <c r="U265" s="2"/>
      <c r="V265" s="2"/>
      <c r="Y265" s="2"/>
    </row>
    <row r="266" spans="1:25" ht="86">
      <c r="A266" s="167" t="s">
        <v>239</v>
      </c>
      <c r="B266" s="167" t="s">
        <v>401</v>
      </c>
      <c r="C266" s="182" t="s">
        <v>464</v>
      </c>
      <c r="D266" s="172">
        <f>7500000*'Dev Bank Share by Country'!$E$38</f>
        <v>159324.2070618725</v>
      </c>
      <c r="E266" s="173" t="s">
        <v>456</v>
      </c>
      <c r="F266" s="173" t="s">
        <v>457</v>
      </c>
      <c r="G266" s="262" t="s">
        <v>794</v>
      </c>
      <c r="H266" s="173" t="s">
        <v>458</v>
      </c>
      <c r="I266" s="180" t="s">
        <v>283</v>
      </c>
      <c r="J266" s="173" t="s">
        <v>26</v>
      </c>
      <c r="K266" s="241">
        <v>41627</v>
      </c>
      <c r="L266" s="173" t="s">
        <v>899</v>
      </c>
      <c r="M266" s="262"/>
      <c r="N266" s="256">
        <f>125/19</f>
        <v>6.5789473684210522</v>
      </c>
      <c r="O266" s="461">
        <f>CompletedProjects[[#This Row],[Power Plant Size (MW) or Share]]*0.593*9057*211.9*10^(-9)</f>
        <v>7.487320604605263E-3</v>
      </c>
      <c r="P266" s="337">
        <f>CompletedProjects[[#This Row],[Annual Emissions (MMTCO2)]]*40</f>
        <v>0.29949282418421053</v>
      </c>
      <c r="Q266" s="167"/>
      <c r="R266" s="167" t="s">
        <v>637</v>
      </c>
      <c r="S266" s="167" t="s">
        <v>633</v>
      </c>
      <c r="T266" s="167" t="s">
        <v>537</v>
      </c>
      <c r="U266" s="2"/>
      <c r="V266" s="2"/>
      <c r="Y266" s="2"/>
    </row>
    <row r="267" spans="1:25" ht="100.35">
      <c r="A267" s="167" t="s">
        <v>239</v>
      </c>
      <c r="B267" s="182" t="s">
        <v>511</v>
      </c>
      <c r="C267" s="182" t="s">
        <v>464</v>
      </c>
      <c r="D267" s="172">
        <f>146970000*'Dev Bank Share by Country'!$G$38</f>
        <v>3536865.434517201</v>
      </c>
      <c r="E267" s="173" t="s">
        <v>459</v>
      </c>
      <c r="F267" s="173" t="s">
        <v>460</v>
      </c>
      <c r="G267" s="262" t="s">
        <v>784</v>
      </c>
      <c r="H267" s="173" t="s">
        <v>239</v>
      </c>
      <c r="I267" s="180" t="s">
        <v>283</v>
      </c>
      <c r="J267" s="173" t="s">
        <v>26</v>
      </c>
      <c r="K267" s="241">
        <v>41701</v>
      </c>
      <c r="L267" s="173" t="s">
        <v>900</v>
      </c>
      <c r="M267" s="262"/>
      <c r="N267" s="256"/>
      <c r="O267" s="461">
        <f>CompletedProjects[[#This Row],[Power Plant Size (MW) or Share]]*0.593*9057*211.9*10^(-9)</f>
        <v>0</v>
      </c>
      <c r="P267" s="337">
        <f>CompletedProjects[[#This Row],[Annual Emissions (MMTCO2)]]*40</f>
        <v>0</v>
      </c>
      <c r="Q267" s="167"/>
      <c r="R267" s="167" t="s">
        <v>400</v>
      </c>
      <c r="S267" s="167" t="s">
        <v>465</v>
      </c>
      <c r="T267" s="167"/>
      <c r="U267" s="2"/>
      <c r="V267" s="2"/>
      <c r="Y267" s="2"/>
    </row>
    <row r="268" spans="1:25" ht="57.35">
      <c r="A268" s="167" t="s">
        <v>239</v>
      </c>
      <c r="B268" s="182" t="s">
        <v>1087</v>
      </c>
      <c r="C268" s="182" t="s">
        <v>336</v>
      </c>
      <c r="D268" s="172">
        <v>1130000000</v>
      </c>
      <c r="E268" s="183" t="s">
        <v>1352</v>
      </c>
      <c r="F268" s="183" t="s">
        <v>1345</v>
      </c>
      <c r="G268" s="267"/>
      <c r="H268" s="173" t="s">
        <v>39</v>
      </c>
      <c r="I268" s="173" t="s">
        <v>284</v>
      </c>
      <c r="J268" s="173" t="s">
        <v>1498</v>
      </c>
      <c r="K268" s="242">
        <v>41066</v>
      </c>
      <c r="L268" s="183"/>
      <c r="M268" s="267" t="s">
        <v>1362</v>
      </c>
      <c r="N268" s="338"/>
      <c r="O268" s="461">
        <f>CompletedProjects[[#This Row],[Power Plant Size (MW) or Share]]*0.593*9057*211.9*10^(-9)</f>
        <v>0</v>
      </c>
      <c r="P268" s="337">
        <f>CompletedProjects[[#This Row],[Annual Emissions (MMTCO2)]]*40</f>
        <v>0</v>
      </c>
      <c r="Q268" s="169">
        <v>2.4</v>
      </c>
      <c r="R268" s="185"/>
      <c r="S268" s="181"/>
      <c r="T268" s="185"/>
      <c r="U268" s="2"/>
      <c r="V268" s="2"/>
      <c r="Y268" s="2"/>
    </row>
    <row r="269" spans="1:25" ht="71.7">
      <c r="A269" s="167" t="s">
        <v>239</v>
      </c>
      <c r="B269" s="238" t="s">
        <v>1087</v>
      </c>
      <c r="C269" s="238" t="s">
        <v>336</v>
      </c>
      <c r="D269" s="172">
        <v>850000000</v>
      </c>
      <c r="E269" s="179" t="s">
        <v>1342</v>
      </c>
      <c r="F269" s="179" t="s">
        <v>1343</v>
      </c>
      <c r="G269" s="271"/>
      <c r="H269" s="179" t="s">
        <v>1341</v>
      </c>
      <c r="I269" s="173" t="s">
        <v>284</v>
      </c>
      <c r="J269" s="173" t="s">
        <v>1498</v>
      </c>
      <c r="K269" s="245">
        <v>41214</v>
      </c>
      <c r="L269" s="179"/>
      <c r="M269" s="274" t="s">
        <v>1361</v>
      </c>
      <c r="N269" s="157">
        <v>650</v>
      </c>
      <c r="O269" s="461">
        <f>CompletedProjects[[#This Row],[Power Plant Size (MW) or Share]]*0.593*9057*211.9*10^(-9)</f>
        <v>0.7397472757350001</v>
      </c>
      <c r="P269" s="337">
        <f>CompletedProjects[[#This Row],[Annual Emissions (MMTCO2)]]*40</f>
        <v>29.589891029400004</v>
      </c>
      <c r="Q269" s="190"/>
      <c r="R269" s="191"/>
      <c r="S269" s="181"/>
      <c r="T269" s="191"/>
      <c r="U269" s="2"/>
      <c r="V269" s="2"/>
      <c r="Y269" s="2"/>
    </row>
    <row r="270" spans="1:25" ht="28.7">
      <c r="A270" s="167" t="s">
        <v>239</v>
      </c>
      <c r="B270" s="173" t="s">
        <v>519</v>
      </c>
      <c r="C270" s="173" t="s">
        <v>464</v>
      </c>
      <c r="D270" s="172">
        <f>120000000*'Dev Bank Share by Country'!$K$38</f>
        <v>7741200</v>
      </c>
      <c r="E270" s="173" t="s">
        <v>533</v>
      </c>
      <c r="F270" s="173" t="s">
        <v>534</v>
      </c>
      <c r="G270" s="262"/>
      <c r="H270" s="173" t="s">
        <v>95</v>
      </c>
      <c r="I270" s="180" t="s">
        <v>283</v>
      </c>
      <c r="J270" s="173" t="s">
        <v>277</v>
      </c>
      <c r="K270" s="241">
        <v>40158</v>
      </c>
      <c r="L270" s="173" t="s">
        <v>535</v>
      </c>
      <c r="M270" s="262"/>
      <c r="N270" s="337">
        <f>200/13</f>
        <v>15.384615384615385</v>
      </c>
      <c r="O270" s="461">
        <f>CompletedProjects[[#This Row],[Power Plant Size (MW) or Share]]*0.593*9057*211.9*10^(-9)</f>
        <v>1.750881126E-2</v>
      </c>
      <c r="P270" s="337">
        <f>CompletedProjects[[#This Row],[Annual Emissions (MMTCO2)]]*40</f>
        <v>0.70035245040000005</v>
      </c>
      <c r="Q270" s="176"/>
      <c r="R270" s="178"/>
      <c r="S270" s="167"/>
      <c r="T270" s="178"/>
      <c r="U270" s="2"/>
      <c r="V270" s="2"/>
      <c r="Y270" s="2"/>
    </row>
    <row r="271" spans="1:25" ht="409.6">
      <c r="A271" s="258" t="s">
        <v>239</v>
      </c>
      <c r="B271" s="259" t="s">
        <v>1087</v>
      </c>
      <c r="C271" s="258" t="s">
        <v>336</v>
      </c>
      <c r="D271" s="172">
        <v>608260000</v>
      </c>
      <c r="E271" s="258" t="s">
        <v>1544</v>
      </c>
      <c r="F271" s="259" t="s">
        <v>1545</v>
      </c>
      <c r="G271" s="275" t="s">
        <v>1609</v>
      </c>
      <c r="H271" s="259" t="s">
        <v>56</v>
      </c>
      <c r="I271" s="173" t="s">
        <v>283</v>
      </c>
      <c r="J271" s="181" t="s">
        <v>1525</v>
      </c>
      <c r="K271" s="242">
        <v>41989</v>
      </c>
      <c r="L271" s="181" t="s">
        <v>1723</v>
      </c>
      <c r="M271" s="286" t="s">
        <v>1724</v>
      </c>
      <c r="N271" s="338">
        <v>350</v>
      </c>
      <c r="O271" s="461">
        <f>CompletedProjects[[#This Row],[Power Plant Size (MW) or Share]]*0.593*9057*211.9*10^(-9)</f>
        <v>0.39832545616499998</v>
      </c>
      <c r="P271" s="337">
        <f>CompletedProjects[[#This Row],[Annual Emissions (MMTCO2)]]*40</f>
        <v>15.9330182466</v>
      </c>
      <c r="Q271" s="169"/>
      <c r="R271" s="185"/>
      <c r="S271" s="258" t="s">
        <v>1725</v>
      </c>
      <c r="T271" s="185"/>
      <c r="U271" s="2"/>
      <c r="V271" s="2"/>
      <c r="Y271" s="2"/>
    </row>
    <row r="272" spans="1:25" ht="28.7">
      <c r="A272" s="167" t="s">
        <v>239</v>
      </c>
      <c r="B272" s="171" t="s">
        <v>1087</v>
      </c>
      <c r="C272" s="171" t="s">
        <v>336</v>
      </c>
      <c r="D272" s="172">
        <v>360000000</v>
      </c>
      <c r="E272" s="196" t="s">
        <v>1093</v>
      </c>
      <c r="F272" s="173" t="s">
        <v>1093</v>
      </c>
      <c r="G272" s="262" t="s">
        <v>1109</v>
      </c>
      <c r="H272" s="180" t="s">
        <v>132</v>
      </c>
      <c r="I272" s="180" t="s">
        <v>283</v>
      </c>
      <c r="J272" s="171" t="s">
        <v>26</v>
      </c>
      <c r="K272" s="240">
        <v>41481</v>
      </c>
      <c r="L272" s="171"/>
      <c r="M272" s="262" t="s">
        <v>1109</v>
      </c>
      <c r="N272" s="256">
        <v>318</v>
      </c>
      <c r="O272" s="461">
        <f>CompletedProjects[[#This Row],[Power Plant Size (MW) or Share]]*0.593*9057*211.9*10^(-9)</f>
        <v>0.3619071287442</v>
      </c>
      <c r="P272" s="337">
        <f>CompletedProjects[[#This Row],[Annual Emissions (MMTCO2)]]*40</f>
        <v>14.476285149768</v>
      </c>
      <c r="Q272" s="176"/>
      <c r="R272" s="178"/>
      <c r="S272" s="167"/>
      <c r="T272" s="178"/>
      <c r="U272" s="2"/>
      <c r="V272" s="2"/>
      <c r="Y272" s="2"/>
    </row>
    <row r="273" spans="1:25" ht="71.7">
      <c r="A273" s="167" t="s">
        <v>239</v>
      </c>
      <c r="B273" s="167" t="s">
        <v>1087</v>
      </c>
      <c r="C273" s="189" t="s">
        <v>336</v>
      </c>
      <c r="D273" s="172">
        <v>300000000</v>
      </c>
      <c r="E273" s="179" t="s">
        <v>1331</v>
      </c>
      <c r="F273" s="179" t="s">
        <v>1332</v>
      </c>
      <c r="G273" s="274"/>
      <c r="H273" s="179" t="s">
        <v>132</v>
      </c>
      <c r="I273" s="180" t="s">
        <v>283</v>
      </c>
      <c r="J273" s="179" t="s">
        <v>277</v>
      </c>
      <c r="K273" s="245">
        <v>41883</v>
      </c>
      <c r="L273" s="179"/>
      <c r="M273" s="274" t="s">
        <v>1356</v>
      </c>
      <c r="N273" s="157">
        <v>318</v>
      </c>
      <c r="O273" s="461">
        <f>CompletedProjects[[#This Row],[Power Plant Size (MW) or Share]]*0.593*9057*211.9*10^(-9)</f>
        <v>0.3619071287442</v>
      </c>
      <c r="P273" s="337">
        <f>CompletedProjects[[#This Row],[Annual Emissions (MMTCO2)]]*40</f>
        <v>14.476285149768</v>
      </c>
      <c r="Q273" s="190"/>
      <c r="R273" s="191"/>
      <c r="S273" s="181"/>
      <c r="T273" s="191"/>
      <c r="U273" s="2"/>
      <c r="V273" s="2"/>
      <c r="Y273" s="2"/>
    </row>
    <row r="274" spans="1:25" ht="28.7">
      <c r="A274" s="258" t="s">
        <v>239</v>
      </c>
      <c r="B274" s="259" t="s">
        <v>1087</v>
      </c>
      <c r="C274" s="258" t="s">
        <v>336</v>
      </c>
      <c r="D274" s="172">
        <v>386000000</v>
      </c>
      <c r="E274" s="258" t="s">
        <v>1541</v>
      </c>
      <c r="F274" s="259" t="s">
        <v>1721</v>
      </c>
      <c r="G274" s="285" t="s">
        <v>1599</v>
      </c>
      <c r="H274" s="259" t="s">
        <v>422</v>
      </c>
      <c r="I274" s="173" t="s">
        <v>283</v>
      </c>
      <c r="J274" s="181" t="s">
        <v>1525</v>
      </c>
      <c r="K274" s="242">
        <v>41528</v>
      </c>
      <c r="L274" s="181" t="s">
        <v>1722</v>
      </c>
      <c r="M274" s="286" t="s">
        <v>1720</v>
      </c>
      <c r="N274" s="338">
        <v>300</v>
      </c>
      <c r="O274" s="461">
        <f>CompletedProjects[[#This Row],[Power Plant Size (MW) or Share]]*0.593*9057*211.9*10^(-9)</f>
        <v>0.34142181957000001</v>
      </c>
      <c r="P274" s="337">
        <f>CompletedProjects[[#This Row],[Annual Emissions (MMTCO2)]]*40</f>
        <v>13.656872782800001</v>
      </c>
      <c r="Q274" s="169"/>
      <c r="R274" s="185"/>
      <c r="S274" s="258" t="s">
        <v>1563</v>
      </c>
      <c r="T274" s="185"/>
      <c r="U274" s="2"/>
      <c r="V274" s="2"/>
      <c r="Y274" s="2"/>
    </row>
    <row r="275" spans="1:25" ht="43">
      <c r="A275" s="258" t="s">
        <v>239</v>
      </c>
      <c r="B275" s="259" t="s">
        <v>1087</v>
      </c>
      <c r="C275" s="258" t="s">
        <v>336</v>
      </c>
      <c r="D275" s="172">
        <v>373009532</v>
      </c>
      <c r="E275" s="258" t="s">
        <v>1546</v>
      </c>
      <c r="F275" s="259" t="s">
        <v>1719</v>
      </c>
      <c r="G275" s="285" t="s">
        <v>1548</v>
      </c>
      <c r="H275" s="259" t="s">
        <v>85</v>
      </c>
      <c r="I275" s="173" t="s">
        <v>283</v>
      </c>
      <c r="J275" s="181" t="s">
        <v>1534</v>
      </c>
      <c r="K275" s="242">
        <v>41995</v>
      </c>
      <c r="L275" s="181" t="s">
        <v>1718</v>
      </c>
      <c r="M275" s="286" t="s">
        <v>1717</v>
      </c>
      <c r="N275" s="338">
        <v>400</v>
      </c>
      <c r="O275" s="461">
        <f>CompletedProjects[[#This Row],[Power Plant Size (MW) or Share]]*0.593*9057*211.9*10^(-9)</f>
        <v>0.45522909276000001</v>
      </c>
      <c r="P275" s="337">
        <f>CompletedProjects[[#This Row],[Annual Emissions (MMTCO2)]]*40</f>
        <v>18.209163710399999</v>
      </c>
      <c r="Q275" s="169"/>
      <c r="R275" s="185"/>
      <c r="S275" s="258"/>
      <c r="T275" s="185"/>
      <c r="U275" s="2"/>
      <c r="V275" s="2"/>
      <c r="Y275" s="2"/>
    </row>
    <row r="276" spans="1:25" ht="86">
      <c r="A276" s="258" t="s">
        <v>239</v>
      </c>
      <c r="B276" s="259" t="s">
        <v>1087</v>
      </c>
      <c r="C276" s="258" t="s">
        <v>336</v>
      </c>
      <c r="D276" s="172">
        <v>240983000</v>
      </c>
      <c r="E276" s="258" t="s">
        <v>1546</v>
      </c>
      <c r="F276" s="258" t="s">
        <v>1547</v>
      </c>
      <c r="G276" s="285" t="s">
        <v>1596</v>
      </c>
      <c r="H276" s="259" t="s">
        <v>85</v>
      </c>
      <c r="I276" s="173" t="s">
        <v>283</v>
      </c>
      <c r="J276" s="181" t="s">
        <v>1534</v>
      </c>
      <c r="K276" s="242">
        <v>41995</v>
      </c>
      <c r="L276" s="181"/>
      <c r="M276" s="286"/>
      <c r="N276" s="338">
        <v>200</v>
      </c>
      <c r="O276" s="461">
        <f>CompletedProjects[[#This Row],[Power Plant Size (MW) or Share]]*0.593*9057*211.9*10^(-9)</f>
        <v>0.22761454638</v>
      </c>
      <c r="P276" s="337">
        <f>CompletedProjects[[#This Row],[Annual Emissions (MMTCO2)]]*40</f>
        <v>9.1045818551999993</v>
      </c>
      <c r="Q276" s="169"/>
      <c r="R276" s="185"/>
      <c r="S276" s="258" t="s">
        <v>1563</v>
      </c>
      <c r="T276" s="185"/>
      <c r="U276" s="2"/>
      <c r="V276" s="2"/>
      <c r="Y276" s="2"/>
    </row>
    <row r="277" spans="1:25" s="254" customFormat="1" ht="129">
      <c r="A277" s="167" t="s">
        <v>239</v>
      </c>
      <c r="B277" s="182" t="s">
        <v>509</v>
      </c>
      <c r="C277" s="182" t="s">
        <v>464</v>
      </c>
      <c r="D277" s="172">
        <v>2295545.1039854395</v>
      </c>
      <c r="E277" s="173" t="s">
        <v>556</v>
      </c>
      <c r="F277" s="173" t="s">
        <v>555</v>
      </c>
      <c r="G277" s="262"/>
      <c r="H277" s="173" t="s">
        <v>554</v>
      </c>
      <c r="I277" s="180" t="s">
        <v>283</v>
      </c>
      <c r="J277" s="173" t="s">
        <v>26</v>
      </c>
      <c r="K277" s="240">
        <v>42064</v>
      </c>
      <c r="L277" s="173" t="s">
        <v>857</v>
      </c>
      <c r="M277" s="262" t="s">
        <v>858</v>
      </c>
      <c r="N277" s="337"/>
      <c r="O277" s="461">
        <f>CompletedProjects[[#This Row],[Power Plant Size (MW) or Share]]*0.593*9057*211.9*10^(-9)</f>
        <v>0</v>
      </c>
      <c r="P277" s="337">
        <f>CompletedProjects[[#This Row],[Annual Emissions (MMTCO2)]]*40</f>
        <v>0</v>
      </c>
      <c r="Q277" s="176"/>
      <c r="R277" s="178" t="s">
        <v>537</v>
      </c>
      <c r="S277" s="167"/>
      <c r="T277" s="178"/>
    </row>
    <row r="278" spans="1:25" ht="215">
      <c r="A278" s="167" t="s">
        <v>239</v>
      </c>
      <c r="B278" s="182" t="s">
        <v>509</v>
      </c>
      <c r="C278" s="182" t="s">
        <v>464</v>
      </c>
      <c r="D278" s="172">
        <v>12912441.209918099</v>
      </c>
      <c r="E278" s="173" t="s">
        <v>41</v>
      </c>
      <c r="F278" s="173" t="s">
        <v>553</v>
      </c>
      <c r="G278" s="262" t="s">
        <v>788</v>
      </c>
      <c r="H278" s="173" t="s">
        <v>25</v>
      </c>
      <c r="I278" s="173" t="s">
        <v>284</v>
      </c>
      <c r="J278" s="173" t="s">
        <v>79</v>
      </c>
      <c r="K278" s="240">
        <v>42359</v>
      </c>
      <c r="L278" s="173" t="s">
        <v>1326</v>
      </c>
      <c r="M278" s="262" t="s">
        <v>861</v>
      </c>
      <c r="N278" s="337"/>
      <c r="O278" s="461">
        <f>CompletedProjects[[#This Row],[Power Plant Size (MW) or Share]]*0.593*9057*211.9*10^(-9)</f>
        <v>0</v>
      </c>
      <c r="P278" s="337">
        <f>CompletedProjects[[#This Row],[Annual Emissions (MMTCO2)]]*40</f>
        <v>0</v>
      </c>
      <c r="Q278" s="176"/>
      <c r="R278" s="178"/>
      <c r="S278" s="167"/>
      <c r="T278" s="178"/>
      <c r="U278" s="2"/>
      <c r="V278" s="2"/>
      <c r="Y278" s="2"/>
    </row>
    <row r="279" spans="1:25" ht="229.35">
      <c r="A279" s="167" t="s">
        <v>239</v>
      </c>
      <c r="B279" s="167" t="s">
        <v>513</v>
      </c>
      <c r="C279" s="167" t="s">
        <v>464</v>
      </c>
      <c r="D279" s="172">
        <f>1000000000*'Dev Bank Share by Country'!$C$38</f>
        <v>51000000</v>
      </c>
      <c r="E279" s="173" t="s">
        <v>425</v>
      </c>
      <c r="F279" s="173" t="s">
        <v>427</v>
      </c>
      <c r="G279" s="262" t="s">
        <v>778</v>
      </c>
      <c r="H279" s="173" t="s">
        <v>65</v>
      </c>
      <c r="I279" s="173" t="s">
        <v>1507</v>
      </c>
      <c r="J279" s="173" t="s">
        <v>428</v>
      </c>
      <c r="K279" s="241">
        <v>40078</v>
      </c>
      <c r="L279" s="173" t="s">
        <v>824</v>
      </c>
      <c r="M279" s="262"/>
      <c r="N279" s="256"/>
      <c r="O279" s="461">
        <f>CompletedProjects[[#This Row],[Power Plant Size (MW) or Share]]*0.593*9057*211.9*10^(-9)</f>
        <v>0</v>
      </c>
      <c r="P279" s="337">
        <f>CompletedProjects[[#This Row],[Annual Emissions (MMTCO2)]]*40</f>
        <v>0</v>
      </c>
      <c r="Q279" s="167"/>
      <c r="R279" s="167" t="s">
        <v>400</v>
      </c>
      <c r="S279" s="167" t="s">
        <v>465</v>
      </c>
      <c r="T279" s="167"/>
      <c r="U279" s="2"/>
      <c r="V279" s="2"/>
      <c r="Y279" s="2"/>
    </row>
    <row r="280" spans="1:25" ht="100.35">
      <c r="A280" s="167" t="s">
        <v>239</v>
      </c>
      <c r="B280" s="182" t="s">
        <v>511</v>
      </c>
      <c r="C280" s="182" t="s">
        <v>464</v>
      </c>
      <c r="D280" s="172">
        <f>46500000*'Dev Bank Share by Country'!$G$38</f>
        <v>1119032.7461730274</v>
      </c>
      <c r="E280" s="173" t="s">
        <v>423</v>
      </c>
      <c r="F280" s="173" t="s">
        <v>424</v>
      </c>
      <c r="G280" s="262" t="s">
        <v>774</v>
      </c>
      <c r="H280" s="173" t="s">
        <v>65</v>
      </c>
      <c r="I280" s="173" t="s">
        <v>284</v>
      </c>
      <c r="J280" s="173" t="s">
        <v>79</v>
      </c>
      <c r="K280" s="241">
        <v>39898</v>
      </c>
      <c r="L280" s="173" t="s">
        <v>920</v>
      </c>
      <c r="M280" s="273"/>
      <c r="N280" s="256"/>
      <c r="O280" s="461">
        <f>CompletedProjects[[#This Row],[Power Plant Size (MW) or Share]]*0.593*9057*211.9*10^(-9)</f>
        <v>0</v>
      </c>
      <c r="P280" s="337">
        <f>CompletedProjects[[#This Row],[Annual Emissions (MMTCO2)]]*40</f>
        <v>0</v>
      </c>
      <c r="Q280" s="167"/>
      <c r="R280" s="167" t="s">
        <v>400</v>
      </c>
      <c r="S280" s="167" t="s">
        <v>465</v>
      </c>
      <c r="T280" s="167"/>
      <c r="U280" s="2"/>
      <c r="V280" s="2"/>
      <c r="Y280" s="2"/>
    </row>
    <row r="281" spans="1:25" ht="272.35000000000002">
      <c r="A281" s="167" t="s">
        <v>239</v>
      </c>
      <c r="B281" s="167" t="s">
        <v>513</v>
      </c>
      <c r="C281" s="171" t="s">
        <v>464</v>
      </c>
      <c r="D281" s="172">
        <f>29600000*'Dev Bank Share by Country'!$C$38</f>
        <v>1509600</v>
      </c>
      <c r="E281" s="173" t="s">
        <v>266</v>
      </c>
      <c r="F281" s="173" t="s">
        <v>444</v>
      </c>
      <c r="G281" s="262" t="s">
        <v>781</v>
      </c>
      <c r="H281" s="173" t="s">
        <v>85</v>
      </c>
      <c r="I281" s="173" t="s">
        <v>284</v>
      </c>
      <c r="J281" s="173" t="s">
        <v>1498</v>
      </c>
      <c r="K281" s="241">
        <v>41163</v>
      </c>
      <c r="L281" s="173" t="s">
        <v>825</v>
      </c>
      <c r="M281" s="262"/>
      <c r="N281" s="256"/>
      <c r="O281" s="461">
        <f>CompletedProjects[[#This Row],[Power Plant Size (MW) or Share]]*0.593*9057*211.9*10^(-9)</f>
        <v>0</v>
      </c>
      <c r="P281" s="337">
        <f>CompletedProjects[[#This Row],[Annual Emissions (MMTCO2)]]*40</f>
        <v>0</v>
      </c>
      <c r="Q281" s="167"/>
      <c r="R281" s="167" t="s">
        <v>400</v>
      </c>
      <c r="S281" s="167" t="s">
        <v>465</v>
      </c>
      <c r="T281" s="167"/>
      <c r="U281" s="2"/>
      <c r="V281" s="2"/>
      <c r="Y281" s="2"/>
    </row>
    <row r="282" spans="1:25" ht="157.69999999999999">
      <c r="A282" s="167" t="s">
        <v>239</v>
      </c>
      <c r="B282" s="167" t="s">
        <v>401</v>
      </c>
      <c r="C282" s="182" t="s">
        <v>464</v>
      </c>
      <c r="D282" s="172">
        <f>2000000*'Dev Bank Share by Country'!$E$38</f>
        <v>42486.455216499329</v>
      </c>
      <c r="E282" s="173" t="s">
        <v>410</v>
      </c>
      <c r="F282" s="173" t="s">
        <v>411</v>
      </c>
      <c r="G282" s="262" t="s">
        <v>777</v>
      </c>
      <c r="H282" s="173" t="s">
        <v>412</v>
      </c>
      <c r="I282" s="173" t="s">
        <v>284</v>
      </c>
      <c r="J282" s="173" t="s">
        <v>1498</v>
      </c>
      <c r="K282" s="241">
        <v>39261</v>
      </c>
      <c r="L282" s="173" t="s">
        <v>916</v>
      </c>
      <c r="M282" s="262"/>
      <c r="N282" s="256"/>
      <c r="O282" s="461">
        <f>CompletedProjects[[#This Row],[Power Plant Size (MW) or Share]]*0.593*9057*211.9*10^(-9)</f>
        <v>0</v>
      </c>
      <c r="P282" s="337">
        <f>CompletedProjects[[#This Row],[Annual Emissions (MMTCO2)]]*40</f>
        <v>0</v>
      </c>
      <c r="Q282" s="167"/>
      <c r="R282" s="167" t="s">
        <v>400</v>
      </c>
      <c r="S282" s="167" t="s">
        <v>633</v>
      </c>
      <c r="T282" s="167"/>
      <c r="U282" s="2"/>
      <c r="V282" s="2"/>
      <c r="Y282" s="2"/>
    </row>
    <row r="283" spans="1:25" ht="114.7">
      <c r="A283" s="167" t="s">
        <v>239</v>
      </c>
      <c r="B283" s="167" t="s">
        <v>513</v>
      </c>
      <c r="C283" s="182" t="s">
        <v>464</v>
      </c>
      <c r="D283" s="172">
        <f>3040000000*'Dev Bank Share by Country'!$C$38</f>
        <v>155040000</v>
      </c>
      <c r="E283" s="173" t="s">
        <v>41</v>
      </c>
      <c r="F283" s="173" t="s">
        <v>432</v>
      </c>
      <c r="G283" s="262" t="s">
        <v>773</v>
      </c>
      <c r="H283" s="173" t="s">
        <v>25</v>
      </c>
      <c r="I283" s="180" t="s">
        <v>283</v>
      </c>
      <c r="J283" s="173" t="s">
        <v>26</v>
      </c>
      <c r="K283" s="241">
        <v>40276</v>
      </c>
      <c r="L283" s="173" t="s">
        <v>923</v>
      </c>
      <c r="M283" s="273"/>
      <c r="N283" s="337">
        <f>4800/19/2</f>
        <v>126.31578947368421</v>
      </c>
      <c r="O283" s="461">
        <f>CompletedProjects[[#This Row],[Power Plant Size (MW) or Share]]*0.593*9057*211.9*10^(-9)</f>
        <v>0.14375655560842107</v>
      </c>
      <c r="P283" s="337">
        <f>CompletedProjects[[#This Row],[Annual Emissions (MMTCO2)]]*40</f>
        <v>5.7502622243368426</v>
      </c>
      <c r="Q283" s="167"/>
      <c r="R283" s="178" t="s">
        <v>643</v>
      </c>
      <c r="S283" s="167" t="s">
        <v>465</v>
      </c>
      <c r="T283" s="178"/>
      <c r="U283" s="2"/>
      <c r="V283" s="2"/>
      <c r="Y283" s="2"/>
    </row>
    <row r="284" spans="1:25" ht="43">
      <c r="A284" s="167" t="s">
        <v>239</v>
      </c>
      <c r="B284" s="173" t="s">
        <v>519</v>
      </c>
      <c r="C284" s="173" t="s">
        <v>464</v>
      </c>
      <c r="D284" s="172">
        <f>135000000*'Dev Bank Share by Country'!$K$38</f>
        <v>8708850</v>
      </c>
      <c r="E284" s="173" t="s">
        <v>531</v>
      </c>
      <c r="F284" s="173" t="s">
        <v>538</v>
      </c>
      <c r="G284" s="262"/>
      <c r="H284" s="173" t="s">
        <v>239</v>
      </c>
      <c r="I284" s="180" t="s">
        <v>283</v>
      </c>
      <c r="J284" s="173" t="s">
        <v>26</v>
      </c>
      <c r="K284" s="241">
        <v>40217</v>
      </c>
      <c r="L284" s="173" t="s">
        <v>539</v>
      </c>
      <c r="M284" s="262"/>
      <c r="N284" s="337">
        <f>250/13</f>
        <v>19.23076923076923</v>
      </c>
      <c r="O284" s="461">
        <f>CompletedProjects[[#This Row],[Power Plant Size (MW) or Share]]*0.593*9057*211.9*10^(-9)</f>
        <v>2.1886014075000002E-2</v>
      </c>
      <c r="P284" s="337">
        <f>CompletedProjects[[#This Row],[Annual Emissions (MMTCO2)]]*40</f>
        <v>0.87544056300000006</v>
      </c>
      <c r="Q284" s="176"/>
      <c r="R284" s="178" t="s">
        <v>540</v>
      </c>
      <c r="S284" s="167"/>
      <c r="T284" s="178"/>
      <c r="U284" s="2"/>
      <c r="V284" s="2"/>
      <c r="Y284" s="2"/>
    </row>
    <row r="285" spans="1:25" ht="114.7">
      <c r="A285" s="258" t="s">
        <v>239</v>
      </c>
      <c r="B285" s="259" t="s">
        <v>1087</v>
      </c>
      <c r="C285" s="258" t="s">
        <v>336</v>
      </c>
      <c r="D285" s="172">
        <v>165600000</v>
      </c>
      <c r="E285" s="258" t="s">
        <v>1538</v>
      </c>
      <c r="F285" s="259" t="s">
        <v>1539</v>
      </c>
      <c r="G285" s="285" t="s">
        <v>1540</v>
      </c>
      <c r="H285" s="259" t="s">
        <v>1281</v>
      </c>
      <c r="I285" s="173" t="s">
        <v>283</v>
      </c>
      <c r="J285" s="181" t="s">
        <v>1525</v>
      </c>
      <c r="K285" s="242">
        <v>41526</v>
      </c>
      <c r="L285" s="181"/>
      <c r="M285" s="286"/>
      <c r="N285" s="338">
        <v>150</v>
      </c>
      <c r="O285" s="461">
        <f>CompletedProjects[[#This Row],[Power Plant Size (MW) or Share]]*0.593*9057*211.9*10^(-9)</f>
        <v>0.170710909785</v>
      </c>
      <c r="P285" s="337">
        <f>CompletedProjects[[#This Row],[Annual Emissions (MMTCO2)]]*40</f>
        <v>6.8284363914000004</v>
      </c>
      <c r="Q285" s="169"/>
      <c r="R285" s="185"/>
      <c r="S285" s="258" t="s">
        <v>1563</v>
      </c>
      <c r="T285" s="185"/>
      <c r="U285" s="2"/>
      <c r="V285" s="2"/>
      <c r="Y285" s="2"/>
    </row>
    <row r="286" spans="1:25" ht="86">
      <c r="A286" s="167" t="s">
        <v>239</v>
      </c>
      <c r="B286" s="171" t="s">
        <v>1087</v>
      </c>
      <c r="C286" s="171" t="s">
        <v>336</v>
      </c>
      <c r="D286" s="172">
        <v>234000000</v>
      </c>
      <c r="E286" s="196" t="s">
        <v>1075</v>
      </c>
      <c r="F286" s="173" t="s">
        <v>1438</v>
      </c>
      <c r="G286" s="262" t="s">
        <v>1083</v>
      </c>
      <c r="H286" s="180" t="s">
        <v>63</v>
      </c>
      <c r="I286" s="180" t="s">
        <v>283</v>
      </c>
      <c r="J286" s="171" t="s">
        <v>26</v>
      </c>
      <c r="K286" s="240">
        <v>42004</v>
      </c>
      <c r="L286" s="171" t="s">
        <v>1380</v>
      </c>
      <c r="M286" s="262"/>
      <c r="N286" s="256">
        <v>200</v>
      </c>
      <c r="O286" s="461">
        <f>CompletedProjects[[#This Row],[Power Plant Size (MW) or Share]]*0.593*9057*211.9*10^(-9)</f>
        <v>0.22761454638</v>
      </c>
      <c r="P286" s="337">
        <f>CompletedProjects[[#This Row],[Annual Emissions (MMTCO2)]]*40</f>
        <v>9.1045818551999993</v>
      </c>
      <c r="Q286" s="176"/>
      <c r="R286" s="178"/>
      <c r="S286" s="167"/>
      <c r="T286" s="178"/>
      <c r="U286" s="2"/>
      <c r="V286" s="2"/>
      <c r="Y286" s="2"/>
    </row>
    <row r="287" spans="1:25" ht="43">
      <c r="A287" s="181" t="s">
        <v>239</v>
      </c>
      <c r="B287" s="182" t="s">
        <v>1087</v>
      </c>
      <c r="C287" s="182" t="s">
        <v>336</v>
      </c>
      <c r="D287" s="321">
        <v>467330000</v>
      </c>
      <c r="E287" s="183" t="s">
        <v>1370</v>
      </c>
      <c r="F287" s="183" t="s">
        <v>1369</v>
      </c>
      <c r="G287" s="267" t="s">
        <v>1371</v>
      </c>
      <c r="H287" s="183" t="s">
        <v>63</v>
      </c>
      <c r="I287" s="180" t="s">
        <v>283</v>
      </c>
      <c r="J287" s="183" t="s">
        <v>26</v>
      </c>
      <c r="K287" s="242">
        <v>42278</v>
      </c>
      <c r="L287" s="183" t="s">
        <v>1372</v>
      </c>
      <c r="M287" s="267"/>
      <c r="N287" s="338">
        <v>400</v>
      </c>
      <c r="O287" s="461">
        <f>CompletedProjects[[#This Row],[Power Plant Size (MW) or Share]]*0.593*9057*211.9*10^(-9)</f>
        <v>0.45522909276000001</v>
      </c>
      <c r="P287" s="337">
        <f>CompletedProjects[[#This Row],[Annual Emissions (MMTCO2)]]*40</f>
        <v>18.209163710399999</v>
      </c>
      <c r="Q287" s="169"/>
      <c r="R287" s="185"/>
      <c r="S287" s="181"/>
      <c r="T287" s="185"/>
      <c r="U287" s="2"/>
      <c r="V287" s="2"/>
      <c r="Y287" s="2"/>
    </row>
    <row r="288" spans="1:25" ht="100.35">
      <c r="A288" s="167" t="s">
        <v>239</v>
      </c>
      <c r="B288" s="167" t="s">
        <v>513</v>
      </c>
      <c r="C288" s="167" t="s">
        <v>464</v>
      </c>
      <c r="D288" s="172">
        <f>379060000*'Dev Bank Share by Country'!$C$38</f>
        <v>19332060</v>
      </c>
      <c r="E288" s="173" t="s">
        <v>429</v>
      </c>
      <c r="F288" s="173" t="s">
        <v>430</v>
      </c>
      <c r="G288" s="262" t="s">
        <v>779</v>
      </c>
      <c r="H288" s="173" t="s">
        <v>431</v>
      </c>
      <c r="I288" s="180" t="s">
        <v>283</v>
      </c>
      <c r="J288" s="173" t="s">
        <v>26</v>
      </c>
      <c r="K288" s="241">
        <v>40115</v>
      </c>
      <c r="L288" s="173" t="s">
        <v>922</v>
      </c>
      <c r="M288" s="262"/>
      <c r="N288" s="337">
        <f>600/19/2</f>
        <v>15.789473684210526</v>
      </c>
      <c r="O288" s="461">
        <f>CompletedProjects[[#This Row],[Power Plant Size (MW) or Share]]*0.593*9057*211.9*10^(-9)</f>
        <v>1.7969569451052634E-2</v>
      </c>
      <c r="P288" s="337">
        <f>CompletedProjects[[#This Row],[Annual Emissions (MMTCO2)]]*40</f>
        <v>0.71878277804210533</v>
      </c>
      <c r="Q288" s="167"/>
      <c r="R288" s="178" t="s">
        <v>640</v>
      </c>
      <c r="S288" s="167" t="s">
        <v>633</v>
      </c>
      <c r="T288" s="178"/>
      <c r="U288" s="2"/>
      <c r="V288" s="2"/>
      <c r="Y288" s="2"/>
    </row>
    <row r="289" spans="1:25" ht="172">
      <c r="A289" s="167" t="s">
        <v>239</v>
      </c>
      <c r="B289" s="167" t="s">
        <v>401</v>
      </c>
      <c r="C289" s="171" t="s">
        <v>464</v>
      </c>
      <c r="D289" s="172">
        <f>21000000*'Dev Bank Share by Country'!$E$38</f>
        <v>446107.779773243</v>
      </c>
      <c r="E289" s="173" t="s">
        <v>451</v>
      </c>
      <c r="F289" s="173" t="s">
        <v>452</v>
      </c>
      <c r="G289" s="262" t="s">
        <v>793</v>
      </c>
      <c r="H289" s="173" t="s">
        <v>453</v>
      </c>
      <c r="I289" s="173" t="s">
        <v>284</v>
      </c>
      <c r="J289" s="173" t="s">
        <v>1498</v>
      </c>
      <c r="K289" s="241">
        <v>41471</v>
      </c>
      <c r="L289" s="173" t="s">
        <v>926</v>
      </c>
      <c r="M289" s="262" t="s">
        <v>898</v>
      </c>
      <c r="N289" s="256"/>
      <c r="O289" s="461">
        <f>CompletedProjects[[#This Row],[Power Plant Size (MW) or Share]]*0.593*9057*211.9*10^(-9)</f>
        <v>0</v>
      </c>
      <c r="P289" s="337">
        <f>CompletedProjects[[#This Row],[Annual Emissions (MMTCO2)]]*40</f>
        <v>0</v>
      </c>
      <c r="Q289" s="167"/>
      <c r="R289" s="167" t="s">
        <v>400</v>
      </c>
      <c r="S289" s="167" t="s">
        <v>633</v>
      </c>
      <c r="T289" s="167" t="s">
        <v>537</v>
      </c>
      <c r="U289" s="2"/>
      <c r="V289" s="2"/>
      <c r="Y289" s="2"/>
    </row>
    <row r="290" spans="1:25" ht="172">
      <c r="A290" s="167" t="s">
        <v>239</v>
      </c>
      <c r="B290" s="167" t="s">
        <v>401</v>
      </c>
      <c r="C290" s="171" t="s">
        <v>464</v>
      </c>
      <c r="D290" s="172">
        <f>12100000*'Dev Bank Share by Country'!$E$38</f>
        <v>257043.05405982095</v>
      </c>
      <c r="E290" s="173" t="s">
        <v>451</v>
      </c>
      <c r="F290" s="173" t="s">
        <v>452</v>
      </c>
      <c r="G290" s="262" t="s">
        <v>793</v>
      </c>
      <c r="H290" s="173" t="s">
        <v>453</v>
      </c>
      <c r="I290" s="173" t="s">
        <v>284</v>
      </c>
      <c r="J290" s="173" t="s">
        <v>1498</v>
      </c>
      <c r="K290" s="241">
        <v>41471</v>
      </c>
      <c r="L290" s="173" t="s">
        <v>926</v>
      </c>
      <c r="M290" s="262" t="s">
        <v>898</v>
      </c>
      <c r="N290" s="256"/>
      <c r="O290" s="461">
        <f>CompletedProjects[[#This Row],[Power Plant Size (MW) or Share]]*0.593*9057*211.9*10^(-9)</f>
        <v>0</v>
      </c>
      <c r="P290" s="337">
        <f>CompletedProjects[[#This Row],[Annual Emissions (MMTCO2)]]*40</f>
        <v>0</v>
      </c>
      <c r="Q290" s="167"/>
      <c r="R290" s="167" t="s">
        <v>400</v>
      </c>
      <c r="S290" s="167" t="s">
        <v>633</v>
      </c>
      <c r="T290" s="167" t="s">
        <v>537</v>
      </c>
      <c r="U290" s="2"/>
      <c r="V290" s="2"/>
      <c r="Y290" s="2"/>
    </row>
    <row r="291" spans="1:25" ht="215">
      <c r="A291" s="167" t="s">
        <v>239</v>
      </c>
      <c r="B291" s="171" t="s">
        <v>511</v>
      </c>
      <c r="C291" s="171" t="s">
        <v>464</v>
      </c>
      <c r="D291" s="172">
        <f>28000000*'Dev Bank Share by Country'!$G$38</f>
        <v>673826.16973859712</v>
      </c>
      <c r="E291" s="173" t="s">
        <v>446</v>
      </c>
      <c r="F291" s="173" t="s">
        <v>447</v>
      </c>
      <c r="G291" s="262" t="s">
        <v>782</v>
      </c>
      <c r="H291" s="173" t="s">
        <v>201</v>
      </c>
      <c r="I291" s="173" t="s">
        <v>284</v>
      </c>
      <c r="J291" s="173" t="s">
        <v>1498</v>
      </c>
      <c r="K291" s="241">
        <v>41333</v>
      </c>
      <c r="L291" s="173" t="s">
        <v>832</v>
      </c>
      <c r="M291" s="262"/>
      <c r="N291" s="256">
        <f>750/19</f>
        <v>39.473684210526315</v>
      </c>
      <c r="O291" s="461">
        <f>CompletedProjects[[#This Row],[Power Plant Size (MW) or Share]]*0.593*9057*211.9*10^(-9)</f>
        <v>4.4923923627631576E-2</v>
      </c>
      <c r="P291" s="337">
        <f>CompletedProjects[[#This Row],[Annual Emissions (MMTCO2)]]*40</f>
        <v>1.7969569451052632</v>
      </c>
      <c r="Q291" s="167"/>
      <c r="R291" s="167" t="s">
        <v>639</v>
      </c>
      <c r="S291" s="167"/>
      <c r="T291" s="167"/>
      <c r="U291" s="2"/>
      <c r="V291" s="2"/>
      <c r="Y291" s="2"/>
    </row>
    <row r="292" spans="1:25" ht="86">
      <c r="A292" s="167" t="s">
        <v>239</v>
      </c>
      <c r="B292" s="171" t="s">
        <v>511</v>
      </c>
      <c r="C292" s="171" t="s">
        <v>464</v>
      </c>
      <c r="D292" s="172">
        <f>45500000*'Dev Bank Share by Country'!$G$38</f>
        <v>1094967.5258252204</v>
      </c>
      <c r="E292" s="173" t="s">
        <v>440</v>
      </c>
      <c r="F292" s="173" t="s">
        <v>441</v>
      </c>
      <c r="G292" s="262" t="s">
        <v>771</v>
      </c>
      <c r="H292" s="173" t="s">
        <v>442</v>
      </c>
      <c r="I292" s="173" t="s">
        <v>40</v>
      </c>
      <c r="J292" s="173" t="s">
        <v>443</v>
      </c>
      <c r="K292" s="241">
        <v>41060</v>
      </c>
      <c r="L292" s="173" t="s">
        <v>924</v>
      </c>
      <c r="M292" s="273"/>
      <c r="N292" s="256"/>
      <c r="O292" s="461">
        <f>CompletedProjects[[#This Row],[Power Plant Size (MW) or Share]]*0.593*9057*211.9*10^(-9)</f>
        <v>0</v>
      </c>
      <c r="P292" s="337">
        <f>CompletedProjects[[#This Row],[Annual Emissions (MMTCO2)]]*40</f>
        <v>0</v>
      </c>
      <c r="Q292" s="167"/>
      <c r="R292" s="167" t="s">
        <v>400</v>
      </c>
      <c r="S292" s="167" t="s">
        <v>465</v>
      </c>
      <c r="T292" s="167"/>
      <c r="U292" s="2"/>
      <c r="V292" s="2"/>
      <c r="Y292" s="2"/>
    </row>
    <row r="293" spans="1:25" ht="86">
      <c r="A293" s="181" t="s">
        <v>239</v>
      </c>
      <c r="B293" s="195" t="s">
        <v>1087</v>
      </c>
      <c r="C293" s="182" t="s">
        <v>336</v>
      </c>
      <c r="D293" s="321">
        <v>1200000000</v>
      </c>
      <c r="E293" s="183" t="s">
        <v>1390</v>
      </c>
      <c r="F293" s="183" t="s">
        <v>1389</v>
      </c>
      <c r="G293" s="277" t="s">
        <v>1443</v>
      </c>
      <c r="H293" s="183" t="s">
        <v>1285</v>
      </c>
      <c r="I293" s="180" t="s">
        <v>283</v>
      </c>
      <c r="J293" s="188" t="s">
        <v>277</v>
      </c>
      <c r="K293" s="242">
        <v>42339</v>
      </c>
      <c r="L293" s="184" t="s">
        <v>1392</v>
      </c>
      <c r="M293" s="267" t="s">
        <v>1391</v>
      </c>
      <c r="N293" s="338">
        <v>600</v>
      </c>
      <c r="O293" s="461">
        <f>CompletedProjects[[#This Row],[Power Plant Size (MW) or Share]]*0.593*9057*211.9*10^(-9)</f>
        <v>0.68284363914000001</v>
      </c>
      <c r="P293" s="337">
        <f>CompletedProjects[[#This Row],[Annual Emissions (MMTCO2)]]*40</f>
        <v>27.313745565600001</v>
      </c>
      <c r="Q293" s="169"/>
      <c r="R293" s="185"/>
      <c r="S293" s="181"/>
      <c r="T293" s="185" t="s">
        <v>537</v>
      </c>
      <c r="U293" s="2"/>
      <c r="V293" s="2"/>
      <c r="Y293" s="2"/>
    </row>
    <row r="294" spans="1:25" ht="57.35">
      <c r="A294" s="181" t="s">
        <v>239</v>
      </c>
      <c r="B294" s="182" t="s">
        <v>1087</v>
      </c>
      <c r="C294" s="182" t="s">
        <v>336</v>
      </c>
      <c r="D294" s="321">
        <v>1200000000</v>
      </c>
      <c r="E294" s="183" t="s">
        <v>1374</v>
      </c>
      <c r="F294" s="183" t="s">
        <v>1373</v>
      </c>
      <c r="G294" s="276" t="s">
        <v>1375</v>
      </c>
      <c r="H294" s="183" t="s">
        <v>85</v>
      </c>
      <c r="I294" s="180" t="s">
        <v>283</v>
      </c>
      <c r="J294" s="183" t="s">
        <v>26</v>
      </c>
      <c r="K294" s="242">
        <v>42094</v>
      </c>
      <c r="L294" s="183"/>
      <c r="M294" s="276" t="s">
        <v>1130</v>
      </c>
      <c r="N294" s="338">
        <f>2*660</f>
        <v>1320</v>
      </c>
      <c r="O294" s="461">
        <f>CompletedProjects[[#This Row],[Power Plant Size (MW) or Share]]*0.593*9057*211.9*10^(-9)</f>
        <v>1.5022560061080001</v>
      </c>
      <c r="P294" s="337">
        <f>CompletedProjects[[#This Row],[Annual Emissions (MMTCO2)]]*40</f>
        <v>60.090240244320007</v>
      </c>
      <c r="Q294" s="169"/>
      <c r="R294" s="185"/>
      <c r="S294" s="181"/>
      <c r="T294" s="185"/>
      <c r="U294" s="2"/>
      <c r="V294" s="2"/>
      <c r="Y294" s="2"/>
    </row>
    <row r="295" spans="1:25" ht="215">
      <c r="A295" s="167" t="s">
        <v>239</v>
      </c>
      <c r="B295" s="167" t="s">
        <v>401</v>
      </c>
      <c r="C295" s="182" t="s">
        <v>464</v>
      </c>
      <c r="D295" s="172">
        <f>200000000*'Dev Bank Share by Country'!$E$38</f>
        <v>4248645.5216499334</v>
      </c>
      <c r="E295" s="173" t="s">
        <v>461</v>
      </c>
      <c r="F295" s="173" t="s">
        <v>462</v>
      </c>
      <c r="G295" s="262" t="s">
        <v>795</v>
      </c>
      <c r="H295" s="173" t="s">
        <v>442</v>
      </c>
      <c r="I295" s="173" t="s">
        <v>284</v>
      </c>
      <c r="J295" s="173" t="s">
        <v>1498</v>
      </c>
      <c r="K295" s="241">
        <v>41760</v>
      </c>
      <c r="L295" s="173" t="s">
        <v>831</v>
      </c>
      <c r="M295" s="262" t="s">
        <v>830</v>
      </c>
      <c r="N295" s="256"/>
      <c r="O295" s="461">
        <f>CompletedProjects[[#This Row],[Power Plant Size (MW) or Share]]*0.593*9057*211.9*10^(-9)</f>
        <v>0</v>
      </c>
      <c r="P295" s="337">
        <f>CompletedProjects[[#This Row],[Annual Emissions (MMTCO2)]]*40</f>
        <v>0</v>
      </c>
      <c r="Q295" s="167"/>
      <c r="R295" s="167" t="s">
        <v>400</v>
      </c>
      <c r="S295" s="167" t="s">
        <v>465</v>
      </c>
      <c r="T295" s="167"/>
      <c r="U295" s="2"/>
      <c r="V295" s="2"/>
      <c r="Y295" s="2"/>
    </row>
    <row r="296" spans="1:25" s="9" customFormat="1" ht="114.7">
      <c r="A296" s="167" t="s">
        <v>239</v>
      </c>
      <c r="B296" s="167" t="s">
        <v>401</v>
      </c>
      <c r="C296" s="171" t="s">
        <v>464</v>
      </c>
      <c r="D296" s="172">
        <f>280000*'Dev Bank Share by Country'!$E$38</f>
        <v>5948.1037303099065</v>
      </c>
      <c r="E296" s="173" t="s">
        <v>437</v>
      </c>
      <c r="F296" s="173" t="s">
        <v>438</v>
      </c>
      <c r="G296" s="262" t="s">
        <v>790</v>
      </c>
      <c r="H296" s="173" t="s">
        <v>439</v>
      </c>
      <c r="I296" s="173" t="s">
        <v>284</v>
      </c>
      <c r="J296" s="173" t="s">
        <v>1498</v>
      </c>
      <c r="K296" s="241">
        <v>41039</v>
      </c>
      <c r="L296" s="173" t="s">
        <v>897</v>
      </c>
      <c r="M296" s="273" t="s">
        <v>780</v>
      </c>
      <c r="N296" s="256"/>
      <c r="O296" s="461">
        <f>CompletedProjects[[#This Row],[Power Plant Size (MW) or Share]]*0.593*9057*211.9*10^(-9)</f>
        <v>0</v>
      </c>
      <c r="P296" s="337">
        <f>CompletedProjects[[#This Row],[Annual Emissions (MMTCO2)]]*40</f>
        <v>0</v>
      </c>
      <c r="Q296" s="167"/>
      <c r="R296" s="167" t="s">
        <v>400</v>
      </c>
      <c r="S296" s="167" t="s">
        <v>465</v>
      </c>
      <c r="T296" s="167"/>
      <c r="U296" s="19"/>
    </row>
    <row r="297" spans="1:25" customFormat="1" ht="86">
      <c r="A297" s="167" t="s">
        <v>239</v>
      </c>
      <c r="B297" s="171" t="s">
        <v>1126</v>
      </c>
      <c r="C297" s="171" t="s">
        <v>336</v>
      </c>
      <c r="D297" s="172">
        <v>234000000</v>
      </c>
      <c r="E297" s="170" t="s">
        <v>1075</v>
      </c>
      <c r="F297" s="173" t="s">
        <v>1438</v>
      </c>
      <c r="G297" s="262" t="s">
        <v>1083</v>
      </c>
      <c r="H297" s="180" t="s">
        <v>63</v>
      </c>
      <c r="I297" s="180" t="s">
        <v>283</v>
      </c>
      <c r="J297" s="171" t="s">
        <v>26</v>
      </c>
      <c r="K297" s="240">
        <v>42004</v>
      </c>
      <c r="L297" s="171" t="s">
        <v>1380</v>
      </c>
      <c r="M297" s="262"/>
      <c r="N297" s="256">
        <v>200</v>
      </c>
      <c r="O297" s="461">
        <f>CompletedProjects[[#This Row],[Power Plant Size (MW) or Share]]*0.593*9057*211.9*10^(-9)</f>
        <v>0.22761454638</v>
      </c>
      <c r="P297" s="337">
        <f>CompletedProjects[[#This Row],[Annual Emissions (MMTCO2)]]*40</f>
        <v>9.1045818551999993</v>
      </c>
      <c r="Q297" s="176"/>
      <c r="R297" s="178"/>
      <c r="S297" s="167"/>
      <c r="T297" s="178"/>
    </row>
    <row r="298" spans="1:25" s="30" customFormat="1" ht="172">
      <c r="A298" s="167" t="s">
        <v>239</v>
      </c>
      <c r="B298" s="167" t="s">
        <v>513</v>
      </c>
      <c r="C298" s="167" t="s">
        <v>464</v>
      </c>
      <c r="D298" s="172">
        <f>57000000*'Dev Bank Share by Country'!$C$38</f>
        <v>2907000</v>
      </c>
      <c r="E298" s="173" t="s">
        <v>415</v>
      </c>
      <c r="F298" s="173" t="s">
        <v>416</v>
      </c>
      <c r="G298" s="262" t="s">
        <v>772</v>
      </c>
      <c r="H298" s="173" t="s">
        <v>368</v>
      </c>
      <c r="I298" s="173" t="s">
        <v>40</v>
      </c>
      <c r="J298" s="173" t="s">
        <v>417</v>
      </c>
      <c r="K298" s="241">
        <v>39436</v>
      </c>
      <c r="L298" s="173" t="s">
        <v>918</v>
      </c>
      <c r="M298" s="273" t="s">
        <v>895</v>
      </c>
      <c r="N298" s="256"/>
      <c r="O298" s="461">
        <f>CompletedProjects[[#This Row],[Power Plant Size (MW) or Share]]*0.593*9057*211.9*10^(-9)</f>
        <v>0</v>
      </c>
      <c r="P298" s="337">
        <f>CompletedProjects[[#This Row],[Annual Emissions (MMTCO2)]]*40</f>
        <v>0</v>
      </c>
      <c r="Q298" s="167"/>
      <c r="R298" s="167" t="s">
        <v>400</v>
      </c>
      <c r="S298" s="167" t="s">
        <v>633</v>
      </c>
      <c r="T298" s="167"/>
    </row>
    <row r="299" spans="1:25" customFormat="1" ht="43">
      <c r="A299" s="167" t="s">
        <v>239</v>
      </c>
      <c r="B299" s="171" t="s">
        <v>1126</v>
      </c>
      <c r="C299" s="171" t="s">
        <v>336</v>
      </c>
      <c r="D299" s="321">
        <v>365000000</v>
      </c>
      <c r="E299" s="197" t="s">
        <v>1421</v>
      </c>
      <c r="F299" s="197" t="s">
        <v>1422</v>
      </c>
      <c r="G299" s="264" t="s">
        <v>1420</v>
      </c>
      <c r="H299" s="183" t="s">
        <v>1086</v>
      </c>
      <c r="I299" s="180" t="s">
        <v>283</v>
      </c>
      <c r="J299" s="183" t="s">
        <v>26</v>
      </c>
      <c r="K299" s="242">
        <v>42213</v>
      </c>
      <c r="L299" s="183" t="s">
        <v>1490</v>
      </c>
      <c r="M299" s="453"/>
      <c r="N299" s="337">
        <f>300/5</f>
        <v>60</v>
      </c>
      <c r="O299" s="461">
        <f>CompletedProjects[[#This Row],[Power Plant Size (MW) or Share]]*0.593*9057*211.9*10^(-9)</f>
        <v>6.8284363914000015E-2</v>
      </c>
      <c r="P299" s="337">
        <f>CompletedProjects[[#This Row],[Annual Emissions (MMTCO2)]]*40</f>
        <v>2.7313745565600005</v>
      </c>
      <c r="Q299" s="229"/>
      <c r="R299" s="178" t="s">
        <v>1491</v>
      </c>
      <c r="S299" s="228"/>
      <c r="T299" s="178"/>
    </row>
    <row r="300" spans="1:25" ht="172">
      <c r="A300" s="167" t="s">
        <v>33</v>
      </c>
      <c r="B300" s="167" t="s">
        <v>397</v>
      </c>
      <c r="C300" s="167" t="s">
        <v>464</v>
      </c>
      <c r="D300" s="172">
        <f>500000000*'Dev Bank Share by Country'!$G$61</f>
        <v>23578701.991627287</v>
      </c>
      <c r="E300" s="173" t="s">
        <v>454</v>
      </c>
      <c r="F300" s="173" t="s">
        <v>455</v>
      </c>
      <c r="G300" s="262" t="s">
        <v>783</v>
      </c>
      <c r="H300" s="183" t="s">
        <v>515</v>
      </c>
      <c r="I300" s="180" t="s">
        <v>283</v>
      </c>
      <c r="J300" s="173" t="s">
        <v>26</v>
      </c>
      <c r="K300" s="241">
        <v>41760</v>
      </c>
      <c r="L300" s="173" t="s">
        <v>833</v>
      </c>
      <c r="M300" s="262"/>
      <c r="N300" s="256">
        <f>(270+450)/19</f>
        <v>37.89473684210526</v>
      </c>
      <c r="O300" s="461">
        <f>CompletedProjects[[#This Row],[Power Plant Size (MW) or Share]]*0.593*9057*211.9*10^(-9)</f>
        <v>4.3126966682526316E-2</v>
      </c>
      <c r="P300" s="337">
        <f>CompletedProjects[[#This Row],[Annual Emissions (MMTCO2)]]*40</f>
        <v>1.7250786673010525</v>
      </c>
      <c r="Q300" s="167"/>
      <c r="R300" s="167" t="s">
        <v>639</v>
      </c>
      <c r="S300" s="167" t="s">
        <v>465</v>
      </c>
      <c r="T300" s="167"/>
      <c r="U300" s="2"/>
      <c r="V300" s="2"/>
      <c r="Y300" s="2"/>
    </row>
    <row r="301" spans="1:25" ht="172">
      <c r="A301" s="167" t="s">
        <v>33</v>
      </c>
      <c r="B301" s="167" t="s">
        <v>401</v>
      </c>
      <c r="C301" s="167" t="s">
        <v>464</v>
      </c>
      <c r="D301" s="172">
        <f>1120000*'Dev Bank Share by Country'!$E$61</f>
        <v>42433.908010556836</v>
      </c>
      <c r="E301" s="173" t="s">
        <v>402</v>
      </c>
      <c r="F301" s="173" t="s">
        <v>403</v>
      </c>
      <c r="G301" s="262" t="s">
        <v>785</v>
      </c>
      <c r="H301" s="173" t="s">
        <v>404</v>
      </c>
      <c r="I301" s="173" t="s">
        <v>284</v>
      </c>
      <c r="J301" s="173" t="s">
        <v>1498</v>
      </c>
      <c r="K301" s="241">
        <v>39224</v>
      </c>
      <c r="L301" s="173" t="s">
        <v>826</v>
      </c>
      <c r="M301" s="262" t="s">
        <v>785</v>
      </c>
      <c r="N301" s="256"/>
      <c r="O301" s="461">
        <f>CompletedProjects[[#This Row],[Power Plant Size (MW) or Share]]*0.593*9057*211.9*10^(-9)</f>
        <v>0</v>
      </c>
      <c r="P301" s="337">
        <f>CompletedProjects[[#This Row],[Annual Emissions (MMTCO2)]]*40</f>
        <v>0</v>
      </c>
      <c r="Q301" s="167"/>
      <c r="R301" s="167" t="s">
        <v>400</v>
      </c>
      <c r="S301" s="167" t="s">
        <v>633</v>
      </c>
      <c r="T301" s="167" t="s">
        <v>537</v>
      </c>
      <c r="U301" s="2"/>
      <c r="V301" s="2"/>
      <c r="Y301" s="2"/>
    </row>
    <row r="302" spans="1:25" ht="172">
      <c r="A302" s="167" t="s">
        <v>33</v>
      </c>
      <c r="B302" s="167" t="s">
        <v>401</v>
      </c>
      <c r="C302" s="167" t="s">
        <v>464</v>
      </c>
      <c r="D302" s="172">
        <f>4200000*'Dev Bank Share by Country'!$E$61</f>
        <v>159127.15503958813</v>
      </c>
      <c r="E302" s="173" t="s">
        <v>448</v>
      </c>
      <c r="F302" s="173" t="s">
        <v>449</v>
      </c>
      <c r="G302" s="262" t="s">
        <v>792</v>
      </c>
      <c r="H302" s="173" t="s">
        <v>450</v>
      </c>
      <c r="I302" s="173" t="s">
        <v>40</v>
      </c>
      <c r="J302" s="173" t="s">
        <v>1502</v>
      </c>
      <c r="K302" s="241">
        <v>41404</v>
      </c>
      <c r="L302" s="173" t="s">
        <v>925</v>
      </c>
      <c r="M302" s="262"/>
      <c r="N302" s="256"/>
      <c r="O302" s="461">
        <f>CompletedProjects[[#This Row],[Power Plant Size (MW) or Share]]*0.593*9057*211.9*10^(-9)</f>
        <v>0</v>
      </c>
      <c r="P302" s="337">
        <f>CompletedProjects[[#This Row],[Annual Emissions (MMTCO2)]]*40</f>
        <v>0</v>
      </c>
      <c r="Q302" s="167"/>
      <c r="R302" s="167" t="s">
        <v>400</v>
      </c>
      <c r="S302" s="167" t="s">
        <v>465</v>
      </c>
      <c r="T302" s="167"/>
      <c r="U302" s="2"/>
      <c r="V302" s="2"/>
      <c r="Y302" s="2"/>
    </row>
    <row r="303" spans="1:25" ht="157.69999999999999">
      <c r="A303" s="167" t="s">
        <v>33</v>
      </c>
      <c r="B303" s="167" t="s">
        <v>414</v>
      </c>
      <c r="C303" s="167" t="s">
        <v>464</v>
      </c>
      <c r="D303" s="172">
        <f>180000000*'Dev Bank Share by Country'!$C$61</f>
        <v>7470000</v>
      </c>
      <c r="E303" s="173" t="s">
        <v>425</v>
      </c>
      <c r="F303" s="173" t="s">
        <v>426</v>
      </c>
      <c r="G303" s="262" t="s">
        <v>770</v>
      </c>
      <c r="H303" s="173" t="s">
        <v>65</v>
      </c>
      <c r="I303" s="180" t="s">
        <v>283</v>
      </c>
      <c r="J303" s="173" t="s">
        <v>277</v>
      </c>
      <c r="K303" s="241">
        <v>39982</v>
      </c>
      <c r="L303" s="173" t="s">
        <v>921</v>
      </c>
      <c r="M303" s="273"/>
      <c r="N303" s="256">
        <f>420/19</f>
        <v>22.105263157894736</v>
      </c>
      <c r="O303" s="461">
        <f>CompletedProjects[[#This Row],[Power Plant Size (MW) or Share]]*0.593*9057*211.9*10^(-9)</f>
        <v>2.5157397231473682E-2</v>
      </c>
      <c r="P303" s="337">
        <f>CompletedProjects[[#This Row],[Annual Emissions (MMTCO2)]]*40</f>
        <v>1.0062958892589473</v>
      </c>
      <c r="Q303" s="167"/>
      <c r="R303" s="167" t="s">
        <v>638</v>
      </c>
      <c r="S303" s="167" t="s">
        <v>466</v>
      </c>
      <c r="T303" s="167"/>
      <c r="U303" s="2"/>
      <c r="V303" s="2"/>
      <c r="Y303" s="2"/>
    </row>
    <row r="304" spans="1:25" ht="100.35">
      <c r="A304" s="167" t="s">
        <v>33</v>
      </c>
      <c r="B304" s="167" t="s">
        <v>397</v>
      </c>
      <c r="C304" s="167" t="s">
        <v>464</v>
      </c>
      <c r="D304" s="172">
        <f>25000000*'Dev Bank Share by Country'!$G$61</f>
        <v>1178935.0995813643</v>
      </c>
      <c r="E304" s="173" t="s">
        <v>398</v>
      </c>
      <c r="F304" s="173" t="s">
        <v>398</v>
      </c>
      <c r="G304" s="262" t="s">
        <v>787</v>
      </c>
      <c r="H304" s="173" t="s">
        <v>399</v>
      </c>
      <c r="I304" s="180" t="s">
        <v>283</v>
      </c>
      <c r="J304" s="173" t="s">
        <v>26</v>
      </c>
      <c r="K304" s="241">
        <v>39204</v>
      </c>
      <c r="L304" s="173" t="s">
        <v>915</v>
      </c>
      <c r="M304" s="262"/>
      <c r="N304" s="256">
        <f>30/20</f>
        <v>1.5</v>
      </c>
      <c r="O304" s="461">
        <f>CompletedProjects[[#This Row],[Power Plant Size (MW) or Share]]*0.593*9057*211.9*10^(-9)</f>
        <v>1.7071090978499999E-3</v>
      </c>
      <c r="P304" s="337">
        <f>CompletedProjects[[#This Row],[Annual Emissions (MMTCO2)]]*40</f>
        <v>6.8284363914000001E-2</v>
      </c>
      <c r="Q304" s="167"/>
      <c r="R304" s="167" t="s">
        <v>635</v>
      </c>
      <c r="S304" s="167"/>
      <c r="T304" s="167"/>
      <c r="U304" s="2"/>
      <c r="V304" s="2"/>
      <c r="Y304" s="2"/>
    </row>
    <row r="305" spans="1:25" ht="57.35">
      <c r="A305" s="167" t="s">
        <v>33</v>
      </c>
      <c r="B305" s="186" t="s">
        <v>519</v>
      </c>
      <c r="C305" s="186" t="s">
        <v>464</v>
      </c>
      <c r="D305" s="172">
        <f>500000*'Dev Bank Share by Country'!$K$61</f>
        <v>11650</v>
      </c>
      <c r="E305" s="173" t="s">
        <v>531</v>
      </c>
      <c r="F305" s="173" t="s">
        <v>532</v>
      </c>
      <c r="G305" s="262"/>
      <c r="H305" s="173" t="s">
        <v>239</v>
      </c>
      <c r="I305" s="180" t="s">
        <v>283</v>
      </c>
      <c r="J305" s="173" t="s">
        <v>26</v>
      </c>
      <c r="K305" s="241">
        <v>40035</v>
      </c>
      <c r="L305" s="178" t="s">
        <v>1322</v>
      </c>
      <c r="M305" s="262"/>
      <c r="N305" s="337">
        <f>600/13</f>
        <v>46.153846153846153</v>
      </c>
      <c r="O305" s="461">
        <f>CompletedProjects[[#This Row],[Power Plant Size (MW) or Share]]*0.593*9057*211.9*10^(-9)</f>
        <v>5.2526433780000006E-2</v>
      </c>
      <c r="P305" s="337">
        <f>CompletedProjects[[#This Row],[Annual Emissions (MMTCO2)]]*40</f>
        <v>2.1010573512000001</v>
      </c>
      <c r="Q305" s="176"/>
      <c r="R305" s="178" t="s">
        <v>524</v>
      </c>
      <c r="S305" s="167"/>
      <c r="T305" s="178"/>
      <c r="U305" s="2"/>
      <c r="V305" s="2"/>
      <c r="Y305" s="2"/>
    </row>
    <row r="306" spans="1:25" ht="57.35">
      <c r="A306" s="181" t="s">
        <v>33</v>
      </c>
      <c r="B306" s="182" t="s">
        <v>559</v>
      </c>
      <c r="C306" s="182" t="s">
        <v>464</v>
      </c>
      <c r="D306" s="172">
        <v>10383738.360748647</v>
      </c>
      <c r="E306" s="173" t="s">
        <v>592</v>
      </c>
      <c r="F306" s="173" t="s">
        <v>599</v>
      </c>
      <c r="G306" s="262" t="s">
        <v>799</v>
      </c>
      <c r="H306" s="173" t="s">
        <v>201</v>
      </c>
      <c r="I306" s="173" t="s">
        <v>40</v>
      </c>
      <c r="J306" s="173" t="s">
        <v>40</v>
      </c>
      <c r="K306" s="240">
        <v>40310</v>
      </c>
      <c r="L306" s="173" t="s">
        <v>1692</v>
      </c>
      <c r="M306" s="262" t="s">
        <v>908</v>
      </c>
      <c r="N306" s="337"/>
      <c r="O306" s="461">
        <f>CompletedProjects[[#This Row],[Power Plant Size (MW) or Share]]*0.593*9057*211.9*10^(-9)</f>
        <v>0</v>
      </c>
      <c r="P306" s="337">
        <f>CompletedProjects[[#This Row],[Annual Emissions (MMTCO2)]]*40</f>
        <v>0</v>
      </c>
      <c r="Q306" s="176">
        <v>0.3</v>
      </c>
      <c r="R306" s="178"/>
      <c r="S306" s="167"/>
      <c r="T306" s="178"/>
      <c r="U306" s="2"/>
      <c r="V306" s="2"/>
      <c r="Y306" s="2"/>
    </row>
    <row r="307" spans="1:25" ht="114.7">
      <c r="A307" s="181" t="s">
        <v>33</v>
      </c>
      <c r="B307" s="182" t="s">
        <v>559</v>
      </c>
      <c r="C307" s="182" t="s">
        <v>464</v>
      </c>
      <c r="D307" s="172">
        <v>9876155.556977395</v>
      </c>
      <c r="E307" s="173" t="s">
        <v>606</v>
      </c>
      <c r="F307" s="173" t="s">
        <v>607</v>
      </c>
      <c r="G307" s="262" t="s">
        <v>730</v>
      </c>
      <c r="H307" s="173" t="s">
        <v>56</v>
      </c>
      <c r="I307" s="173" t="s">
        <v>40</v>
      </c>
      <c r="J307" s="173" t="s">
        <v>40</v>
      </c>
      <c r="K307" s="240">
        <v>40750</v>
      </c>
      <c r="L307" s="173" t="s">
        <v>1696</v>
      </c>
      <c r="M307" s="262" t="s">
        <v>912</v>
      </c>
      <c r="N307" s="337"/>
      <c r="O307" s="461">
        <f>CompletedProjects[[#This Row],[Power Plant Size (MW) or Share]]*0.593*9057*211.9*10^(-9)</f>
        <v>0</v>
      </c>
      <c r="P307" s="337">
        <f>CompletedProjects[[#This Row],[Annual Emissions (MMTCO2)]]*40</f>
        <v>0</v>
      </c>
      <c r="Q307" s="176"/>
      <c r="R307" s="178"/>
      <c r="S307" s="167"/>
      <c r="T307" s="178"/>
      <c r="U307" s="2"/>
      <c r="V307" s="2"/>
      <c r="Y307" s="2"/>
    </row>
    <row r="308" spans="1:25" ht="43">
      <c r="A308" s="167" t="s">
        <v>33</v>
      </c>
      <c r="B308" s="167" t="s">
        <v>397</v>
      </c>
      <c r="C308" s="167" t="s">
        <v>464</v>
      </c>
      <c r="D308" s="172">
        <f>740000000*'Dev Bank Share by Country'!$G$61</f>
        <v>34896478.947608389</v>
      </c>
      <c r="E308" s="173" t="s">
        <v>418</v>
      </c>
      <c r="F308" s="173" t="s">
        <v>419</v>
      </c>
      <c r="G308" s="262" t="s">
        <v>765</v>
      </c>
      <c r="H308" s="173" t="s">
        <v>144</v>
      </c>
      <c r="I308" s="180" t="s">
        <v>283</v>
      </c>
      <c r="J308" s="173" t="s">
        <v>26</v>
      </c>
      <c r="K308" s="241">
        <v>39520</v>
      </c>
      <c r="L308" s="202" t="s">
        <v>817</v>
      </c>
      <c r="M308" s="451"/>
      <c r="N308" s="256">
        <f>330/19</f>
        <v>17.368421052631579</v>
      </c>
      <c r="O308" s="461">
        <f>CompletedProjects[[#This Row],[Power Plant Size (MW) or Share]]*0.593*9057*211.9*10^(-9)</f>
        <v>1.9766526396157894E-2</v>
      </c>
      <c r="P308" s="337">
        <f>CompletedProjects[[#This Row],[Annual Emissions (MMTCO2)]]*40</f>
        <v>0.79066105584631574</v>
      </c>
      <c r="Q308" s="167"/>
      <c r="R308" s="167" t="s">
        <v>400</v>
      </c>
      <c r="S308" s="167" t="s">
        <v>633</v>
      </c>
      <c r="T308" s="167"/>
      <c r="U308" s="2"/>
      <c r="V308" s="2"/>
      <c r="Y308" s="2"/>
    </row>
    <row r="309" spans="1:25" ht="43">
      <c r="A309" s="167" t="s">
        <v>33</v>
      </c>
      <c r="B309" s="167" t="s">
        <v>477</v>
      </c>
      <c r="C309" s="167" t="s">
        <v>464</v>
      </c>
      <c r="D309" s="172">
        <f>505000000*0.161</f>
        <v>81305000</v>
      </c>
      <c r="E309" s="173" t="s">
        <v>482</v>
      </c>
      <c r="F309" s="173" t="s">
        <v>483</v>
      </c>
      <c r="G309" s="262" t="s">
        <v>935</v>
      </c>
      <c r="H309" s="173" t="s">
        <v>75</v>
      </c>
      <c r="I309" s="180" t="s">
        <v>283</v>
      </c>
      <c r="J309" s="173" t="s">
        <v>26</v>
      </c>
      <c r="K309" s="241">
        <v>39391</v>
      </c>
      <c r="L309" s="173" t="s">
        <v>1668</v>
      </c>
      <c r="M309" s="262"/>
      <c r="N309" s="150">
        <f>750/4</f>
        <v>187.5</v>
      </c>
      <c r="O309" s="461">
        <f>CompletedProjects[[#This Row],[Power Plant Size (MW) or Share]]*0.593*9057*211.9*10^(-9)</f>
        <v>0.21338863723125004</v>
      </c>
      <c r="P309" s="337">
        <f>CompletedProjects[[#This Row],[Annual Emissions (MMTCO2)]]*40</f>
        <v>8.5355454892500013</v>
      </c>
      <c r="Q309" s="203"/>
      <c r="R309" s="167" t="s">
        <v>484</v>
      </c>
      <c r="S309" s="167"/>
      <c r="T309" s="167"/>
      <c r="U309" s="2"/>
      <c r="V309" s="2"/>
      <c r="Y309" s="2"/>
    </row>
    <row r="310" spans="1:25" ht="57.35">
      <c r="A310" s="167" t="s">
        <v>33</v>
      </c>
      <c r="B310" s="167" t="s">
        <v>477</v>
      </c>
      <c r="C310" s="167" t="s">
        <v>464</v>
      </c>
      <c r="D310" s="172">
        <v>21161761.82052232</v>
      </c>
      <c r="E310" s="173" t="s">
        <v>517</v>
      </c>
      <c r="F310" s="173" t="s">
        <v>478</v>
      </c>
      <c r="G310" s="262" t="s">
        <v>932</v>
      </c>
      <c r="H310" s="173" t="s">
        <v>86</v>
      </c>
      <c r="I310" s="180" t="s">
        <v>244</v>
      </c>
      <c r="J310" s="173" t="s">
        <v>589</v>
      </c>
      <c r="K310" s="241">
        <v>39259</v>
      </c>
      <c r="L310" s="173"/>
      <c r="M310" s="262"/>
      <c r="N310" s="150">
        <f>3930/4</f>
        <v>982.5</v>
      </c>
      <c r="O310" s="461">
        <f>CompletedProjects[[#This Row],[Power Plant Size (MW) or Share]]*0.593*9057*211.9*10^(-9)</f>
        <v>1.1181564590917499</v>
      </c>
      <c r="P310" s="337">
        <f>CompletedProjects[[#This Row],[Annual Emissions (MMTCO2)]]*40</f>
        <v>44.726258363669999</v>
      </c>
      <c r="Q310" s="203"/>
      <c r="R310" s="167" t="s">
        <v>479</v>
      </c>
      <c r="S310" s="167"/>
      <c r="T310" s="167"/>
      <c r="U310" s="22"/>
      <c r="V310" s="2"/>
      <c r="X310" s="30"/>
      <c r="Y310" s="2"/>
    </row>
    <row r="311" spans="1:25" ht="71.7">
      <c r="A311" s="167" t="s">
        <v>33</v>
      </c>
      <c r="B311" s="186" t="s">
        <v>519</v>
      </c>
      <c r="C311" s="186" t="s">
        <v>464</v>
      </c>
      <c r="D311" s="172">
        <f>350000*'Dev Bank Share by Country'!$K$61</f>
        <v>8155</v>
      </c>
      <c r="E311" s="173" t="s">
        <v>542</v>
      </c>
      <c r="F311" s="173" t="s">
        <v>543</v>
      </c>
      <c r="G311" s="262"/>
      <c r="H311" s="173" t="s">
        <v>201</v>
      </c>
      <c r="I311" s="173" t="s">
        <v>40</v>
      </c>
      <c r="J311" s="173" t="s">
        <v>40</v>
      </c>
      <c r="K311" s="241">
        <v>41977</v>
      </c>
      <c r="L311" s="173" t="s">
        <v>1713</v>
      </c>
      <c r="M311" s="262" t="s">
        <v>805</v>
      </c>
      <c r="N311" s="102"/>
      <c r="O311" s="461">
        <f>CompletedProjects[[#This Row],[Power Plant Size (MW) or Share]]*0.593*9057*211.9*10^(-9)</f>
        <v>0</v>
      </c>
      <c r="P311" s="337">
        <f>CompletedProjects[[#This Row],[Annual Emissions (MMTCO2)]]*40</f>
        <v>0</v>
      </c>
      <c r="Q311" s="173"/>
      <c r="R311" s="178"/>
      <c r="S311" s="167"/>
      <c r="T311" s="178"/>
      <c r="U311" s="2"/>
      <c r="V311" s="2"/>
      <c r="Y311" s="2"/>
    </row>
    <row r="312" spans="1:25" ht="28.7">
      <c r="A312" s="167" t="s">
        <v>33</v>
      </c>
      <c r="B312" s="167" t="s">
        <v>477</v>
      </c>
      <c r="C312" s="194" t="s">
        <v>464</v>
      </c>
      <c r="D312" s="172">
        <f>65000000*0.161</f>
        <v>10465000</v>
      </c>
      <c r="E312" s="173" t="s">
        <v>491</v>
      </c>
      <c r="F312" s="173" t="s">
        <v>492</v>
      </c>
      <c r="G312" s="262" t="s">
        <v>939</v>
      </c>
      <c r="H312" s="173" t="s">
        <v>493</v>
      </c>
      <c r="I312" s="180" t="s">
        <v>283</v>
      </c>
      <c r="J312" s="173" t="s">
        <v>26</v>
      </c>
      <c r="K312" s="241">
        <v>39959</v>
      </c>
      <c r="L312" s="173" t="s">
        <v>1669</v>
      </c>
      <c r="M312" s="262" t="s">
        <v>940</v>
      </c>
      <c r="N312" s="256">
        <f>(64+120)/4</f>
        <v>46</v>
      </c>
      <c r="O312" s="461">
        <f>CompletedProjects[[#This Row],[Power Plant Size (MW) or Share]]*0.593*9057*211.9*10^(-9)</f>
        <v>5.2351345667400004E-2</v>
      </c>
      <c r="P312" s="337">
        <f>CompletedProjects[[#This Row],[Annual Emissions (MMTCO2)]]*40</f>
        <v>2.0940538266960003</v>
      </c>
      <c r="Q312" s="204"/>
      <c r="R312" s="167" t="s">
        <v>494</v>
      </c>
      <c r="S312" s="167"/>
      <c r="T312" s="167"/>
      <c r="U312" s="2"/>
      <c r="V312" s="2"/>
      <c r="Y312" s="2"/>
    </row>
    <row r="313" spans="1:25" ht="43">
      <c r="A313" s="218" t="s">
        <v>33</v>
      </c>
      <c r="B313" s="218" t="s">
        <v>559</v>
      </c>
      <c r="C313" s="218" t="s">
        <v>464</v>
      </c>
      <c r="D313" s="172">
        <v>4797025.7225509658</v>
      </c>
      <c r="E313" s="173" t="s">
        <v>602</v>
      </c>
      <c r="F313" s="173" t="s">
        <v>603</v>
      </c>
      <c r="G313" s="262" t="s">
        <v>801</v>
      </c>
      <c r="H313" s="173" t="s">
        <v>39</v>
      </c>
      <c r="I313" s="180" t="s">
        <v>283</v>
      </c>
      <c r="J313" s="173" t="s">
        <v>277</v>
      </c>
      <c r="K313" s="240">
        <v>40561</v>
      </c>
      <c r="L313" s="173" t="s">
        <v>910</v>
      </c>
      <c r="M313" s="262"/>
      <c r="N313" s="337">
        <f>60/12</f>
        <v>5</v>
      </c>
      <c r="O313" s="461">
        <f>CompletedProjects[[#This Row],[Power Plant Size (MW) or Share]]*0.593*9057*211.9*10^(-9)</f>
        <v>5.6903636594999992E-3</v>
      </c>
      <c r="P313" s="337">
        <f>CompletedProjects[[#This Row],[Annual Emissions (MMTCO2)]]*40</f>
        <v>0.22761454637999998</v>
      </c>
      <c r="Q313" s="176"/>
      <c r="R313" s="178" t="s">
        <v>537</v>
      </c>
      <c r="S313" s="167"/>
      <c r="T313" s="178"/>
      <c r="U313" s="2"/>
      <c r="V313" s="2"/>
      <c r="Y313" s="2"/>
    </row>
    <row r="314" spans="1:25" ht="57.35">
      <c r="A314" s="181" t="s">
        <v>33</v>
      </c>
      <c r="B314" s="182" t="s">
        <v>559</v>
      </c>
      <c r="C314" s="182" t="s">
        <v>464</v>
      </c>
      <c r="D314" s="172">
        <v>6469618.9163542967</v>
      </c>
      <c r="E314" s="173" t="s">
        <v>610</v>
      </c>
      <c r="F314" s="173" t="s">
        <v>610</v>
      </c>
      <c r="G314" s="262" t="s">
        <v>1604</v>
      </c>
      <c r="H314" s="173" t="s">
        <v>368</v>
      </c>
      <c r="I314" s="173" t="s">
        <v>40</v>
      </c>
      <c r="J314" s="173" t="s">
        <v>40</v>
      </c>
      <c r="K314" s="240">
        <v>41264</v>
      </c>
      <c r="L314" s="173" t="s">
        <v>1695</v>
      </c>
      <c r="M314" s="262"/>
      <c r="N314" s="337"/>
      <c r="O314" s="461">
        <f>CompletedProjects[[#This Row],[Power Plant Size (MW) or Share]]*0.593*9057*211.9*10^(-9)</f>
        <v>0</v>
      </c>
      <c r="P314" s="337">
        <f>CompletedProjects[[#This Row],[Annual Emissions (MMTCO2)]]*40</f>
        <v>0</v>
      </c>
      <c r="Q314" s="176"/>
      <c r="R314" s="178"/>
      <c r="S314" s="167"/>
      <c r="T314" s="178"/>
      <c r="U314" s="2"/>
      <c r="V314" s="2"/>
      <c r="Y314" s="2"/>
    </row>
    <row r="315" spans="1:25" ht="258">
      <c r="A315" s="167" t="s">
        <v>33</v>
      </c>
      <c r="B315" s="167" t="s">
        <v>401</v>
      </c>
      <c r="C315" s="167" t="s">
        <v>464</v>
      </c>
      <c r="D315" s="172">
        <f>11000000*'Dev Bank Share by Country'!$E$61</f>
        <v>416761.5965322546</v>
      </c>
      <c r="E315" s="173" t="s">
        <v>420</v>
      </c>
      <c r="F315" s="173" t="s">
        <v>421</v>
      </c>
      <c r="G315" s="262" t="s">
        <v>769</v>
      </c>
      <c r="H315" s="173" t="s">
        <v>422</v>
      </c>
      <c r="I315" s="180" t="s">
        <v>283</v>
      </c>
      <c r="J315" s="173" t="s">
        <v>277</v>
      </c>
      <c r="K315" s="241">
        <v>39777</v>
      </c>
      <c r="L315" s="197"/>
      <c r="M315" s="273"/>
      <c r="N315" s="256"/>
      <c r="O315" s="461">
        <f>CompletedProjects[[#This Row],[Power Plant Size (MW) or Share]]*0.593*9057*211.9*10^(-9)</f>
        <v>0</v>
      </c>
      <c r="P315" s="337">
        <f>CompletedProjects[[#This Row],[Annual Emissions (MMTCO2)]]*40</f>
        <v>0</v>
      </c>
      <c r="Q315" s="167"/>
      <c r="R315" s="173" t="s">
        <v>834</v>
      </c>
      <c r="S315" s="167" t="s">
        <v>633</v>
      </c>
      <c r="T315" s="173"/>
      <c r="U315" s="2"/>
      <c r="V315" s="2"/>
      <c r="Y315" s="2"/>
    </row>
    <row r="316" spans="1:25" ht="57.35">
      <c r="A316" s="167" t="s">
        <v>33</v>
      </c>
      <c r="B316" s="167" t="s">
        <v>477</v>
      </c>
      <c r="C316" s="194" t="s">
        <v>464</v>
      </c>
      <c r="D316" s="172">
        <v>6858157.5609657103</v>
      </c>
      <c r="E316" s="173" t="s">
        <v>504</v>
      </c>
      <c r="F316" s="173" t="s">
        <v>505</v>
      </c>
      <c r="G316" s="262" t="s">
        <v>945</v>
      </c>
      <c r="H316" s="173" t="s">
        <v>506</v>
      </c>
      <c r="I316" s="180" t="s">
        <v>244</v>
      </c>
      <c r="J316" s="173" t="s">
        <v>589</v>
      </c>
      <c r="K316" s="241">
        <v>40893</v>
      </c>
      <c r="L316" s="173"/>
      <c r="M316" s="262" t="s">
        <v>946</v>
      </c>
      <c r="N316" s="256">
        <f>(150+115)/4</f>
        <v>66.25</v>
      </c>
      <c r="O316" s="461">
        <f>CompletedProjects[[#This Row],[Power Plant Size (MW) or Share]]*0.593*9057*211.9*10^(-9)</f>
        <v>7.5397318488374998E-2</v>
      </c>
      <c r="P316" s="337">
        <f>CompletedProjects[[#This Row],[Annual Emissions (MMTCO2)]]*40</f>
        <v>3.0158927395349999</v>
      </c>
      <c r="Q316" s="203"/>
      <c r="R316" s="167" t="s">
        <v>507</v>
      </c>
      <c r="S316" s="167"/>
      <c r="T316" s="167"/>
      <c r="U316" s="2"/>
      <c r="V316" s="2"/>
      <c r="Y316" s="2"/>
    </row>
    <row r="317" spans="1:25" ht="28.7">
      <c r="A317" s="167" t="s">
        <v>33</v>
      </c>
      <c r="B317" s="167" t="s">
        <v>477</v>
      </c>
      <c r="C317" s="167" t="s">
        <v>464</v>
      </c>
      <c r="D317" s="172">
        <v>118169452.15940833</v>
      </c>
      <c r="E317" s="173" t="s">
        <v>488</v>
      </c>
      <c r="F317" s="173" t="s">
        <v>489</v>
      </c>
      <c r="G317" s="262" t="s">
        <v>937</v>
      </c>
      <c r="H317" s="173" t="s">
        <v>75</v>
      </c>
      <c r="I317" s="180" t="s">
        <v>283</v>
      </c>
      <c r="J317" s="173" t="s">
        <v>26</v>
      </c>
      <c r="K317" s="241">
        <v>39472</v>
      </c>
      <c r="L317" s="173"/>
      <c r="M317" s="262" t="s">
        <v>938</v>
      </c>
      <c r="N317" s="150">
        <f>(800+220)/4</f>
        <v>255</v>
      </c>
      <c r="O317" s="461">
        <f>CompletedProjects[[#This Row],[Power Plant Size (MW) or Share]]*0.593*9057*211.9*10^(-9)</f>
        <v>0.29020854663450002</v>
      </c>
      <c r="P317" s="337">
        <f>CompletedProjects[[#This Row],[Annual Emissions (MMTCO2)]]*40</f>
        <v>11.608341865380002</v>
      </c>
      <c r="Q317" s="203"/>
      <c r="R317" s="167" t="s">
        <v>490</v>
      </c>
      <c r="S317" s="167"/>
      <c r="T317" s="167"/>
      <c r="U317" s="2"/>
      <c r="V317" s="2"/>
      <c r="Y317" s="2"/>
    </row>
    <row r="318" spans="1:25" ht="71.7">
      <c r="A318" s="167" t="s">
        <v>33</v>
      </c>
      <c r="B318" s="186" t="s">
        <v>519</v>
      </c>
      <c r="C318" s="186" t="s">
        <v>464</v>
      </c>
      <c r="D318" s="172">
        <f>900525000*'Dev Bank Share by Country'!$K$61</f>
        <v>20982232.5</v>
      </c>
      <c r="E318" s="173" t="s">
        <v>510</v>
      </c>
      <c r="F318" s="173" t="s">
        <v>541</v>
      </c>
      <c r="G318" s="262"/>
      <c r="H318" s="173" t="s">
        <v>442</v>
      </c>
      <c r="I318" s="180" t="s">
        <v>283</v>
      </c>
      <c r="J318" s="173" t="s">
        <v>26</v>
      </c>
      <c r="K318" s="241">
        <v>41617</v>
      </c>
      <c r="L318" s="178" t="s">
        <v>1712</v>
      </c>
      <c r="M318" s="262" t="s">
        <v>902</v>
      </c>
      <c r="N318" s="337">
        <f>600/13</f>
        <v>46.153846153846153</v>
      </c>
      <c r="O318" s="461">
        <f>CompletedProjects[[#This Row],[Power Plant Size (MW) or Share]]*0.593*9057*211.9*10^(-9)</f>
        <v>5.2526433780000006E-2</v>
      </c>
      <c r="P318" s="337">
        <f>CompletedProjects[[#This Row],[Annual Emissions (MMTCO2)]]*40</f>
        <v>2.1010573512000001</v>
      </c>
      <c r="Q318" s="176"/>
      <c r="R318" s="178" t="s">
        <v>524</v>
      </c>
      <c r="S318" s="167"/>
      <c r="T318" s="178"/>
      <c r="U318" s="2"/>
      <c r="V318" s="2"/>
      <c r="Y318" s="2"/>
    </row>
    <row r="319" spans="1:25" ht="28.7">
      <c r="A319" s="181" t="s">
        <v>33</v>
      </c>
      <c r="B319" s="182" t="s">
        <v>519</v>
      </c>
      <c r="C319" s="182" t="s">
        <v>464</v>
      </c>
      <c r="D319" s="172">
        <f>70500000*'Dev Bank Share by Country'!$K$61</f>
        <v>1642650</v>
      </c>
      <c r="E319" s="183" t="s">
        <v>1400</v>
      </c>
      <c r="F319" s="183" t="s">
        <v>1399</v>
      </c>
      <c r="G319" s="267" t="s">
        <v>1401</v>
      </c>
      <c r="H319" s="183" t="s">
        <v>273</v>
      </c>
      <c r="I319" s="180" t="s">
        <v>283</v>
      </c>
      <c r="J319" s="183" t="s">
        <v>26</v>
      </c>
      <c r="K319" s="242">
        <v>40813</v>
      </c>
      <c r="L319" s="183" t="s">
        <v>1711</v>
      </c>
      <c r="M319" s="267"/>
      <c r="N319" s="338"/>
      <c r="O319" s="461">
        <f>CompletedProjects[[#This Row],[Power Plant Size (MW) or Share]]*0.593*9057*211.9*10^(-9)</f>
        <v>0</v>
      </c>
      <c r="P319" s="337">
        <f>CompletedProjects[[#This Row],[Annual Emissions (MMTCO2)]]*40</f>
        <v>0</v>
      </c>
      <c r="Q319" s="169"/>
      <c r="R319" s="185"/>
      <c r="S319" s="181"/>
      <c r="T319" s="185"/>
      <c r="U319" s="2"/>
      <c r="V319" s="2"/>
      <c r="Y319" s="2"/>
    </row>
    <row r="320" spans="1:25" ht="57.35">
      <c r="A320" s="167" t="s">
        <v>33</v>
      </c>
      <c r="B320" s="167" t="s">
        <v>519</v>
      </c>
      <c r="C320" s="194" t="s">
        <v>464</v>
      </c>
      <c r="D320" s="172">
        <f>200000000*'Dev Bank Share by Country'!$K$61</f>
        <v>4660000</v>
      </c>
      <c r="E320" s="173" t="s">
        <v>413</v>
      </c>
      <c r="F320" s="173" t="s">
        <v>523</v>
      </c>
      <c r="G320" s="262"/>
      <c r="H320" s="173" t="s">
        <v>95</v>
      </c>
      <c r="I320" s="180" t="s">
        <v>283</v>
      </c>
      <c r="J320" s="173" t="s">
        <v>277</v>
      </c>
      <c r="K320" s="241">
        <v>39554</v>
      </c>
      <c r="L320" s="167" t="s">
        <v>1319</v>
      </c>
      <c r="M320" s="262"/>
      <c r="N320" s="256">
        <f>600/13/2</f>
        <v>23.076923076923077</v>
      </c>
      <c r="O320" s="461">
        <f>CompletedProjects[[#This Row],[Power Plant Size (MW) or Share]]*0.593*9057*211.9*10^(-9)</f>
        <v>2.6263216890000003E-2</v>
      </c>
      <c r="P320" s="337">
        <f>CompletedProjects[[#This Row],[Annual Emissions (MMTCO2)]]*40</f>
        <v>1.0505286756000001</v>
      </c>
      <c r="Q320" s="203"/>
      <c r="R320" s="167" t="s">
        <v>641</v>
      </c>
      <c r="S320" s="167"/>
      <c r="T320" s="167"/>
      <c r="U320" s="2"/>
      <c r="V320" s="2"/>
      <c r="Y320" s="2"/>
    </row>
    <row r="321" spans="1:25" ht="43">
      <c r="A321" s="167" t="s">
        <v>33</v>
      </c>
      <c r="B321" s="167" t="s">
        <v>519</v>
      </c>
      <c r="C321" s="194" t="s">
        <v>464</v>
      </c>
      <c r="D321" s="172">
        <f>27860000*'Dev Bank Share by Country'!$K$61</f>
        <v>649138</v>
      </c>
      <c r="E321" s="173" t="s">
        <v>520</v>
      </c>
      <c r="F321" s="173" t="s">
        <v>521</v>
      </c>
      <c r="G321" s="262"/>
      <c r="H321" s="173" t="s">
        <v>63</v>
      </c>
      <c r="I321" s="180" t="s">
        <v>283</v>
      </c>
      <c r="J321" s="173" t="s">
        <v>26</v>
      </c>
      <c r="K321" s="241">
        <v>39357</v>
      </c>
      <c r="L321" s="167" t="s">
        <v>1320</v>
      </c>
      <c r="M321" s="262"/>
      <c r="N321" s="256">
        <f>1080/13</f>
        <v>83.07692307692308</v>
      </c>
      <c r="O321" s="461">
        <f>CompletedProjects[[#This Row],[Power Plant Size (MW) or Share]]*0.593*9057*211.9*10^(-9)</f>
        <v>9.4547580804000012E-2</v>
      </c>
      <c r="P321" s="337">
        <f>CompletedProjects[[#This Row],[Annual Emissions (MMTCO2)]]*40</f>
        <v>3.7819032321600003</v>
      </c>
      <c r="Q321" s="203"/>
      <c r="R321" s="167" t="s">
        <v>522</v>
      </c>
      <c r="S321" s="167"/>
      <c r="T321" s="167"/>
      <c r="U321" s="2"/>
      <c r="V321" s="2"/>
      <c r="Y321" s="2"/>
    </row>
    <row r="322" spans="1:25" ht="114.7">
      <c r="A322" s="167" t="s">
        <v>33</v>
      </c>
      <c r="B322" s="171" t="s">
        <v>559</v>
      </c>
      <c r="C322" s="171" t="s">
        <v>464</v>
      </c>
      <c r="D322" s="172">
        <v>18425663.35256977</v>
      </c>
      <c r="E322" s="173" t="s">
        <v>560</v>
      </c>
      <c r="F322" s="173" t="s">
        <v>561</v>
      </c>
      <c r="G322" s="262" t="s">
        <v>790</v>
      </c>
      <c r="H322" s="173" t="s">
        <v>56</v>
      </c>
      <c r="I322" s="173" t="s">
        <v>284</v>
      </c>
      <c r="J322" s="173" t="s">
        <v>79</v>
      </c>
      <c r="K322" s="240">
        <v>42278</v>
      </c>
      <c r="L322" s="173" t="s">
        <v>865</v>
      </c>
      <c r="M322" s="262" t="s">
        <v>866</v>
      </c>
      <c r="N322" s="337"/>
      <c r="O322" s="461">
        <f>CompletedProjects[[#This Row],[Power Plant Size (MW) or Share]]*0.593*9057*211.9*10^(-9)</f>
        <v>0</v>
      </c>
      <c r="P322" s="337">
        <f>CompletedProjects[[#This Row],[Annual Emissions (MMTCO2)]]*40</f>
        <v>0</v>
      </c>
      <c r="Q322" s="176"/>
      <c r="R322" s="178"/>
      <c r="S322" s="167"/>
      <c r="T322" s="178"/>
      <c r="U322" s="2"/>
      <c r="V322" s="2"/>
      <c r="Y322" s="2"/>
    </row>
    <row r="323" spans="1:25" ht="28.7">
      <c r="A323" s="183" t="s">
        <v>33</v>
      </c>
      <c r="B323" s="183" t="s">
        <v>508</v>
      </c>
      <c r="C323" s="183" t="s">
        <v>464</v>
      </c>
      <c r="D323" s="172">
        <f>147000000*'Dev Bank Share by Country'!$O$61</f>
        <v>2786965.1535330722</v>
      </c>
      <c r="E323" s="173" t="s">
        <v>471</v>
      </c>
      <c r="F323" s="173" t="s">
        <v>472</v>
      </c>
      <c r="G323" s="262" t="s">
        <v>930</v>
      </c>
      <c r="H323" s="173" t="s">
        <v>473</v>
      </c>
      <c r="I323" s="180" t="s">
        <v>283</v>
      </c>
      <c r="J323" s="173" t="s">
        <v>26</v>
      </c>
      <c r="K323" s="241">
        <v>39892</v>
      </c>
      <c r="L323" s="197"/>
      <c r="M323" s="262"/>
      <c r="N323" s="150">
        <f>720/12</f>
        <v>60</v>
      </c>
      <c r="O323" s="461">
        <f>CompletedProjects[[#This Row],[Power Plant Size (MW) or Share]]*0.593*9057*211.9*10^(-9)</f>
        <v>6.8284363914000015E-2</v>
      </c>
      <c r="P323" s="337">
        <f>CompletedProjects[[#This Row],[Annual Emissions (MMTCO2)]]*40</f>
        <v>2.7313745565600005</v>
      </c>
      <c r="Q323" s="203"/>
      <c r="R323" s="173"/>
      <c r="S323" s="167"/>
      <c r="T323" s="173"/>
      <c r="U323" s="2"/>
      <c r="V323" s="2"/>
      <c r="Y323" s="2"/>
    </row>
    <row r="324" spans="1:25" ht="43">
      <c r="A324" s="173" t="s">
        <v>33</v>
      </c>
      <c r="B324" s="183" t="s">
        <v>508</v>
      </c>
      <c r="C324" s="183" t="s">
        <v>464</v>
      </c>
      <c r="D324" s="172">
        <f>50000000*'Dev Bank Share by Country'!$O$61</f>
        <v>947947.33113369811</v>
      </c>
      <c r="E324" s="173" t="s">
        <v>475</v>
      </c>
      <c r="F324" s="173" t="s">
        <v>476</v>
      </c>
      <c r="G324" s="262" t="s">
        <v>931</v>
      </c>
      <c r="H324" s="173" t="s">
        <v>473</v>
      </c>
      <c r="I324" s="180" t="s">
        <v>283</v>
      </c>
      <c r="J324" s="173" t="s">
        <v>26</v>
      </c>
      <c r="K324" s="241">
        <v>39892</v>
      </c>
      <c r="L324" s="197"/>
      <c r="M324" s="262"/>
      <c r="N324" s="462">
        <f>360/12</f>
        <v>30</v>
      </c>
      <c r="O324" s="461">
        <f>CompletedProjects[[#This Row],[Power Plant Size (MW) or Share]]*0.593*9057*211.9*10^(-9)</f>
        <v>3.4142181957000008E-2</v>
      </c>
      <c r="P324" s="337">
        <f>CompletedProjects[[#This Row],[Annual Emissions (MMTCO2)]]*40</f>
        <v>1.3656872782800002</v>
      </c>
      <c r="Q324" s="203"/>
      <c r="R324" s="173"/>
      <c r="S324" s="167"/>
      <c r="T324" s="173"/>
      <c r="U324" s="2"/>
      <c r="V324" s="2"/>
      <c r="Y324" s="2"/>
    </row>
    <row r="325" spans="1:25" ht="86">
      <c r="A325" s="167" t="s">
        <v>33</v>
      </c>
      <c r="B325" s="167" t="s">
        <v>397</v>
      </c>
      <c r="C325" s="167" t="s">
        <v>464</v>
      </c>
      <c r="D325" s="172">
        <f>8000000*'Dev Bank Share by Country'!$G$61</f>
        <v>377259.2318660366</v>
      </c>
      <c r="E325" s="173" t="s">
        <v>405</v>
      </c>
      <c r="F325" s="173" t="s">
        <v>406</v>
      </c>
      <c r="G325" s="264" t="s">
        <v>786</v>
      </c>
      <c r="H325" s="173" t="s">
        <v>65</v>
      </c>
      <c r="I325" s="180" t="s">
        <v>283</v>
      </c>
      <c r="J325" s="173" t="s">
        <v>26</v>
      </c>
      <c r="K325" s="241">
        <v>39234</v>
      </c>
      <c r="L325" s="173" t="s">
        <v>815</v>
      </c>
      <c r="M325" s="262" t="s">
        <v>806</v>
      </c>
      <c r="N325" s="256">
        <f>600/19</f>
        <v>31.578947368421051</v>
      </c>
      <c r="O325" s="461">
        <f>CompletedProjects[[#This Row],[Power Plant Size (MW) or Share]]*0.593*9057*211.9*10^(-9)</f>
        <v>3.5939138902105268E-2</v>
      </c>
      <c r="P325" s="337">
        <f>CompletedProjects[[#This Row],[Annual Emissions (MMTCO2)]]*40</f>
        <v>1.4375655560842107</v>
      </c>
      <c r="Q325" s="167"/>
      <c r="R325" s="167" t="s">
        <v>467</v>
      </c>
      <c r="S325" s="167" t="s">
        <v>633</v>
      </c>
      <c r="T325" s="167"/>
      <c r="U325" s="2"/>
      <c r="V325" s="2"/>
      <c r="Y325" s="2"/>
    </row>
    <row r="326" spans="1:25" ht="57.35">
      <c r="A326" s="167" t="s">
        <v>33</v>
      </c>
      <c r="B326" s="167" t="s">
        <v>477</v>
      </c>
      <c r="C326" s="167" t="s">
        <v>464</v>
      </c>
      <c r="D326" s="172">
        <v>18466471.640521713</v>
      </c>
      <c r="E326" s="173" t="s">
        <v>485</v>
      </c>
      <c r="F326" s="173" t="s">
        <v>486</v>
      </c>
      <c r="G326" s="262" t="s">
        <v>936</v>
      </c>
      <c r="H326" s="173" t="s">
        <v>70</v>
      </c>
      <c r="I326" s="180" t="s">
        <v>244</v>
      </c>
      <c r="J326" s="173" t="s">
        <v>589</v>
      </c>
      <c r="K326" s="241">
        <v>39436</v>
      </c>
      <c r="L326" s="173"/>
      <c r="M326" s="262"/>
      <c r="N326" s="150">
        <f>1600/4</f>
        <v>400</v>
      </c>
      <c r="O326" s="461">
        <f>CompletedProjects[[#This Row],[Power Plant Size (MW) or Share]]*0.593*9057*211.9*10^(-9)</f>
        <v>0.45522909276000001</v>
      </c>
      <c r="P326" s="337">
        <f>CompletedProjects[[#This Row],[Annual Emissions (MMTCO2)]]*40</f>
        <v>18.209163710399999</v>
      </c>
      <c r="Q326" s="203"/>
      <c r="R326" s="167" t="s">
        <v>487</v>
      </c>
      <c r="S326" s="167"/>
      <c r="T326" s="167"/>
      <c r="U326" s="2"/>
      <c r="V326" s="2"/>
      <c r="Y326" s="2"/>
    </row>
    <row r="327" spans="1:25" ht="57.35">
      <c r="A327" s="167" t="s">
        <v>33</v>
      </c>
      <c r="B327" s="171" t="s">
        <v>22</v>
      </c>
      <c r="C327" s="171" t="s">
        <v>336</v>
      </c>
      <c r="D327" s="172">
        <v>757438526.63520002</v>
      </c>
      <c r="E327" s="173" t="s">
        <v>23</v>
      </c>
      <c r="F327" s="173" t="s">
        <v>24</v>
      </c>
      <c r="G327" s="270" t="s">
        <v>672</v>
      </c>
      <c r="H327" s="173" t="s">
        <v>25</v>
      </c>
      <c r="I327" s="180" t="s">
        <v>283</v>
      </c>
      <c r="J327" s="173" t="s">
        <v>26</v>
      </c>
      <c r="K327" s="241">
        <v>39994</v>
      </c>
      <c r="L327" s="173" t="s">
        <v>289</v>
      </c>
      <c r="M327" s="262" t="s">
        <v>290</v>
      </c>
      <c r="N327" s="465"/>
      <c r="O327" s="461">
        <f>CompletedProjects[[#This Row],[Power Plant Size (MW) or Share]]*0.593*9057*211.9*10^(-9)</f>
        <v>0</v>
      </c>
      <c r="P327" s="337">
        <f>CompletedProjects[[#This Row],[Annual Emissions (MMTCO2)]]*40</f>
        <v>0</v>
      </c>
      <c r="Q327" s="176"/>
      <c r="R327" s="178"/>
      <c r="S327" s="167"/>
      <c r="T327" s="178"/>
      <c r="U327" s="2"/>
      <c r="V327" s="2"/>
      <c r="Y327" s="2"/>
    </row>
    <row r="328" spans="1:25" ht="71.7">
      <c r="A328" s="167" t="s">
        <v>33</v>
      </c>
      <c r="B328" s="186" t="s">
        <v>519</v>
      </c>
      <c r="C328" s="186" t="s">
        <v>464</v>
      </c>
      <c r="D328" s="172">
        <f>902850000*'Dev Bank Share by Country'!$K$61</f>
        <v>21036405</v>
      </c>
      <c r="E328" s="173" t="s">
        <v>91</v>
      </c>
      <c r="F328" s="173" t="s">
        <v>536</v>
      </c>
      <c r="G328" s="262"/>
      <c r="H328" s="173" t="s">
        <v>63</v>
      </c>
      <c r="I328" s="180" t="s">
        <v>283</v>
      </c>
      <c r="J328" s="173" t="s">
        <v>26</v>
      </c>
      <c r="K328" s="241">
        <v>40168</v>
      </c>
      <c r="L328" s="173" t="s">
        <v>1323</v>
      </c>
      <c r="M328" s="262"/>
      <c r="N328" s="337"/>
      <c r="O328" s="461">
        <f>CompletedProjects[[#This Row],[Power Plant Size (MW) or Share]]*0.593*9057*211.9*10^(-9)</f>
        <v>0</v>
      </c>
      <c r="P328" s="337">
        <f>CompletedProjects[[#This Row],[Annual Emissions (MMTCO2)]]*40</f>
        <v>0</v>
      </c>
      <c r="Q328" s="176"/>
      <c r="R328" s="178" t="s">
        <v>537</v>
      </c>
      <c r="S328" s="167"/>
      <c r="T328" s="178"/>
      <c r="U328" s="22"/>
      <c r="V328" s="2"/>
      <c r="X328" s="30"/>
      <c r="Y328" s="2"/>
    </row>
    <row r="329" spans="1:25" ht="114.7">
      <c r="A329" s="167" t="s">
        <v>33</v>
      </c>
      <c r="B329" s="167" t="s">
        <v>397</v>
      </c>
      <c r="C329" s="167" t="s">
        <v>464</v>
      </c>
      <c r="D329" s="172">
        <v>92567279.526562884</v>
      </c>
      <c r="E329" s="173" t="s">
        <v>413</v>
      </c>
      <c r="F329" s="173" t="s">
        <v>413</v>
      </c>
      <c r="G329" s="262" t="s">
        <v>766</v>
      </c>
      <c r="H329" s="173" t="s">
        <v>95</v>
      </c>
      <c r="I329" s="180" t="s">
        <v>283</v>
      </c>
      <c r="J329" s="173" t="s">
        <v>277</v>
      </c>
      <c r="K329" s="241">
        <v>39394</v>
      </c>
      <c r="L329" s="173" t="s">
        <v>917</v>
      </c>
      <c r="M329" s="262"/>
      <c r="N329" s="256">
        <f>600/7/2</f>
        <v>42.857142857142854</v>
      </c>
      <c r="O329" s="461">
        <f>CompletedProjects[[#This Row],[Power Plant Size (MW) or Share]]*0.593*9057*211.9*10^(-9)</f>
        <v>4.8774545652857132E-2</v>
      </c>
      <c r="P329" s="337">
        <f>CompletedProjects[[#This Row],[Annual Emissions (MMTCO2)]]*40</f>
        <v>1.9509818261142853</v>
      </c>
      <c r="Q329" s="167"/>
      <c r="R329" s="167" t="s">
        <v>640</v>
      </c>
      <c r="S329" s="167" t="s">
        <v>465</v>
      </c>
      <c r="T329" s="167"/>
      <c r="U329" s="2"/>
      <c r="V329" s="2"/>
      <c r="Y329" s="2"/>
    </row>
    <row r="330" spans="1:25" ht="28.7">
      <c r="A330" s="173" t="s">
        <v>33</v>
      </c>
      <c r="B330" s="173" t="s">
        <v>509</v>
      </c>
      <c r="C330" s="173" t="s">
        <v>464</v>
      </c>
      <c r="D330" s="172">
        <v>4910774.9281642037</v>
      </c>
      <c r="E330" s="173" t="s">
        <v>429</v>
      </c>
      <c r="F330" s="173" t="s">
        <v>430</v>
      </c>
      <c r="G330" s="262" t="s">
        <v>928</v>
      </c>
      <c r="H330" s="173" t="s">
        <v>431</v>
      </c>
      <c r="I330" s="180" t="s">
        <v>283</v>
      </c>
      <c r="J330" s="173" t="s">
        <v>26</v>
      </c>
      <c r="K330" s="241">
        <v>40114</v>
      </c>
      <c r="L330" s="173"/>
      <c r="M330" s="262"/>
      <c r="N330" s="337">
        <f>600/15/2</f>
        <v>20</v>
      </c>
      <c r="O330" s="461">
        <f>CompletedProjects[[#This Row],[Power Plant Size (MW) or Share]]*0.593*9057*211.9*10^(-9)</f>
        <v>2.2761454637999997E-2</v>
      </c>
      <c r="P330" s="337">
        <f>CompletedProjects[[#This Row],[Annual Emissions (MMTCO2)]]*40</f>
        <v>0.91045818551999991</v>
      </c>
      <c r="Q330" s="176"/>
      <c r="R330" s="178" t="s">
        <v>467</v>
      </c>
      <c r="S330" s="167"/>
      <c r="T330" s="178"/>
      <c r="U330" s="2"/>
      <c r="V330" s="2"/>
      <c r="Y330" s="2"/>
    </row>
    <row r="331" spans="1:25" ht="28.7">
      <c r="A331" s="167" t="s">
        <v>33</v>
      </c>
      <c r="B331" s="171" t="s">
        <v>509</v>
      </c>
      <c r="C331" s="171" t="s">
        <v>464</v>
      </c>
      <c r="D331" s="172">
        <v>99225428.77380158</v>
      </c>
      <c r="E331" s="173" t="s">
        <v>41</v>
      </c>
      <c r="F331" s="173" t="s">
        <v>468</v>
      </c>
      <c r="G331" s="262" t="s">
        <v>927</v>
      </c>
      <c r="H331" s="173" t="s">
        <v>25</v>
      </c>
      <c r="I331" s="180" t="s">
        <v>283</v>
      </c>
      <c r="J331" s="173" t="s">
        <v>26</v>
      </c>
      <c r="K331" s="241">
        <v>40142</v>
      </c>
      <c r="L331" s="173"/>
      <c r="M331" s="262"/>
      <c r="N331" s="337">
        <f>4800/15/2</f>
        <v>160</v>
      </c>
      <c r="O331" s="461">
        <f>CompletedProjects[[#This Row],[Power Plant Size (MW) or Share]]*0.593*9057*211.9*10^(-9)</f>
        <v>0.18209163710399998</v>
      </c>
      <c r="P331" s="337">
        <f>CompletedProjects[[#This Row],[Annual Emissions (MMTCO2)]]*40</f>
        <v>7.2836654841599993</v>
      </c>
      <c r="Q331" s="176"/>
      <c r="R331" s="178" t="s">
        <v>642</v>
      </c>
      <c r="S331" s="167"/>
      <c r="T331" s="178"/>
      <c r="U331" s="2"/>
      <c r="V331" s="2"/>
      <c r="Y331" s="2"/>
    </row>
    <row r="332" spans="1:25" ht="43">
      <c r="A332" s="181" t="s">
        <v>33</v>
      </c>
      <c r="B332" s="182" t="s">
        <v>509</v>
      </c>
      <c r="C332" s="182" t="s">
        <v>464</v>
      </c>
      <c r="D332" s="172">
        <v>3109812.9428935158</v>
      </c>
      <c r="E332" s="173" t="s">
        <v>469</v>
      </c>
      <c r="F332" s="173" t="s">
        <v>516</v>
      </c>
      <c r="G332" s="262" t="s">
        <v>929</v>
      </c>
      <c r="H332" s="173" t="s">
        <v>458</v>
      </c>
      <c r="I332" s="180" t="s">
        <v>283</v>
      </c>
      <c r="J332" s="173" t="s">
        <v>26</v>
      </c>
      <c r="K332" s="241">
        <v>40142</v>
      </c>
      <c r="L332" s="173"/>
      <c r="M332" s="262"/>
      <c r="N332" s="150">
        <f>125/15</f>
        <v>8.3333333333333339</v>
      </c>
      <c r="O332" s="461">
        <f>CompletedProjects[[#This Row],[Power Plant Size (MW) or Share]]*0.593*9057*211.9*10^(-9)</f>
        <v>9.4839394324999996E-3</v>
      </c>
      <c r="P332" s="337">
        <f>CompletedProjects[[#This Row],[Annual Emissions (MMTCO2)]]*40</f>
        <v>0.37935757729999997</v>
      </c>
      <c r="Q332" s="203"/>
      <c r="R332" s="167" t="s">
        <v>470</v>
      </c>
      <c r="S332" s="167"/>
      <c r="T332" s="167" t="s">
        <v>537</v>
      </c>
      <c r="U332" s="2"/>
      <c r="V332" s="2"/>
      <c r="Y332" s="2"/>
    </row>
    <row r="333" spans="1:25" ht="57.35">
      <c r="A333" s="181" t="s">
        <v>33</v>
      </c>
      <c r="B333" s="182" t="s">
        <v>519</v>
      </c>
      <c r="C333" s="182" t="s">
        <v>464</v>
      </c>
      <c r="D333" s="172">
        <f>450000000*'Dev Bank Share by Country'!$K$61</f>
        <v>10485000</v>
      </c>
      <c r="E333" s="183" t="s">
        <v>1395</v>
      </c>
      <c r="F333" s="183" t="s">
        <v>1393</v>
      </c>
      <c r="G333" s="262" t="s">
        <v>1394</v>
      </c>
      <c r="H333" s="183" t="s">
        <v>65</v>
      </c>
      <c r="I333" s="180" t="s">
        <v>283</v>
      </c>
      <c r="J333" s="183" t="s">
        <v>26</v>
      </c>
      <c r="K333" s="242">
        <v>39562</v>
      </c>
      <c r="L333" s="173" t="s">
        <v>525</v>
      </c>
      <c r="M333" s="262" t="s">
        <v>821</v>
      </c>
      <c r="N333" s="338">
        <f>4000/3/13</f>
        <v>102.56410256410255</v>
      </c>
      <c r="O333" s="461">
        <f>CompletedProjects[[#This Row],[Power Plant Size (MW) or Share]]*0.593*9057*211.9*10^(-9)</f>
        <v>0.11672540839999998</v>
      </c>
      <c r="P333" s="337">
        <f>CompletedProjects[[#This Row],[Annual Emissions (MMTCO2)]]*40</f>
        <v>4.6690163359999994</v>
      </c>
      <c r="Q333" s="176"/>
      <c r="R333" s="173" t="s">
        <v>1396</v>
      </c>
      <c r="S333" s="167"/>
      <c r="T333" s="173"/>
      <c r="U333" s="2"/>
      <c r="V333" s="2"/>
      <c r="Y333" s="2"/>
    </row>
    <row r="334" spans="1:25" ht="57.35">
      <c r="A334" s="167" t="s">
        <v>33</v>
      </c>
      <c r="B334" s="186" t="s">
        <v>519</v>
      </c>
      <c r="C334" s="186" t="s">
        <v>464</v>
      </c>
      <c r="D334" s="172"/>
      <c r="E334" s="173" t="s">
        <v>526</v>
      </c>
      <c r="F334" s="173" t="s">
        <v>527</v>
      </c>
      <c r="G334" s="174" t="s">
        <v>901</v>
      </c>
      <c r="H334" s="173" t="s">
        <v>95</v>
      </c>
      <c r="I334" s="180" t="s">
        <v>283</v>
      </c>
      <c r="J334" s="173" t="s">
        <v>277</v>
      </c>
      <c r="K334" s="241">
        <v>39601</v>
      </c>
      <c r="L334" s="172">
        <f>120000000*'Dev Bank Share by Country'!$K$61</f>
        <v>2796000</v>
      </c>
      <c r="M334" s="450"/>
      <c r="N334" s="337"/>
      <c r="O334" s="461">
        <f>CompletedProjects[[#This Row],[Power Plant Size (MW) or Share]]*0.593*9057*211.9*10^(-9)</f>
        <v>0</v>
      </c>
      <c r="P334" s="337">
        <f>CompletedProjects[[#This Row],[Annual Emissions (MMTCO2)]]*40</f>
        <v>0</v>
      </c>
      <c r="Q334" s="176"/>
      <c r="R334" s="178" t="s">
        <v>1321</v>
      </c>
      <c r="S334" s="167" t="s">
        <v>1688</v>
      </c>
      <c r="T334" s="178"/>
      <c r="U334" s="2"/>
      <c r="V334" s="2"/>
      <c r="Y334" s="2"/>
    </row>
    <row r="335" spans="1:25" ht="43">
      <c r="A335" s="181" t="s">
        <v>33</v>
      </c>
      <c r="B335" s="182" t="s">
        <v>559</v>
      </c>
      <c r="C335" s="182" t="s">
        <v>464</v>
      </c>
      <c r="D335" s="172">
        <v>2690146.8494751859</v>
      </c>
      <c r="E335" s="173" t="s">
        <v>588</v>
      </c>
      <c r="F335" s="173" t="s">
        <v>588</v>
      </c>
      <c r="G335" s="265" t="s">
        <v>793</v>
      </c>
      <c r="H335" s="173" t="s">
        <v>201</v>
      </c>
      <c r="I335" s="173" t="s">
        <v>40</v>
      </c>
      <c r="J335" s="173" t="s">
        <v>40</v>
      </c>
      <c r="K335" s="240">
        <v>39422</v>
      </c>
      <c r="L335" s="167" t="s">
        <v>905</v>
      </c>
      <c r="M335" s="262"/>
      <c r="N335" s="337"/>
      <c r="O335" s="461">
        <f>CompletedProjects[[#This Row],[Power Plant Size (MW) or Share]]*0.593*9057*211.9*10^(-9)</f>
        <v>0</v>
      </c>
      <c r="P335" s="337">
        <f>CompletedProjects[[#This Row],[Annual Emissions (MMTCO2)]]*40</f>
        <v>0</v>
      </c>
      <c r="Q335" s="176"/>
      <c r="R335" s="178" t="s">
        <v>537</v>
      </c>
      <c r="S335" s="167"/>
      <c r="T335" s="178"/>
      <c r="U335" s="2"/>
      <c r="V335" s="2"/>
      <c r="Y335" s="2"/>
    </row>
    <row r="336" spans="1:25" ht="43">
      <c r="A336" s="167" t="s">
        <v>33</v>
      </c>
      <c r="B336" s="167" t="s">
        <v>477</v>
      </c>
      <c r="C336" s="194" t="s">
        <v>464</v>
      </c>
      <c r="D336" s="172">
        <v>13723740.742281655</v>
      </c>
      <c r="E336" s="173" t="s">
        <v>495</v>
      </c>
      <c r="F336" s="173" t="s">
        <v>496</v>
      </c>
      <c r="G336" s="262" t="s">
        <v>941</v>
      </c>
      <c r="H336" s="173" t="s">
        <v>493</v>
      </c>
      <c r="I336" s="180" t="s">
        <v>283</v>
      </c>
      <c r="J336" s="173" t="s">
        <v>26</v>
      </c>
      <c r="K336" s="241">
        <v>40218</v>
      </c>
      <c r="L336" s="173"/>
      <c r="M336" s="262" t="s">
        <v>942</v>
      </c>
      <c r="N336" s="256">
        <f>(36+165)/4</f>
        <v>50.25</v>
      </c>
      <c r="O336" s="461">
        <f>CompletedProjects[[#This Row],[Power Plant Size (MW) or Share]]*0.593*9057*211.9*10^(-9)</f>
        <v>5.7188154777975002E-2</v>
      </c>
      <c r="P336" s="337">
        <f>CompletedProjects[[#This Row],[Annual Emissions (MMTCO2)]]*40</f>
        <v>2.2875261911189999</v>
      </c>
      <c r="Q336" s="204"/>
      <c r="R336" s="167" t="s">
        <v>497</v>
      </c>
      <c r="S336" s="167"/>
      <c r="T336" s="167"/>
      <c r="U336" s="2"/>
      <c r="V336" s="2"/>
      <c r="Y336" s="2"/>
    </row>
    <row r="337" spans="1:25" ht="172">
      <c r="A337" s="167" t="s">
        <v>33</v>
      </c>
      <c r="B337" s="167" t="s">
        <v>401</v>
      </c>
      <c r="C337" s="167" t="s">
        <v>464</v>
      </c>
      <c r="D337" s="172">
        <f>11250000*'Dev Bank Share by Country'!$E$61</f>
        <v>426233.45099889679</v>
      </c>
      <c r="E337" s="173" t="s">
        <v>270</v>
      </c>
      <c r="F337" s="173" t="s">
        <v>433</v>
      </c>
      <c r="G337" s="262" t="s">
        <v>767</v>
      </c>
      <c r="H337" s="173" t="s">
        <v>201</v>
      </c>
      <c r="I337" s="173" t="s">
        <v>40</v>
      </c>
      <c r="J337" s="173" t="s">
        <v>417</v>
      </c>
      <c r="K337" s="241">
        <v>40673</v>
      </c>
      <c r="L337" s="173" t="s">
        <v>828</v>
      </c>
      <c r="M337" s="273" t="s">
        <v>827</v>
      </c>
      <c r="N337" s="256"/>
      <c r="O337" s="461">
        <f>CompletedProjects[[#This Row],[Power Plant Size (MW) or Share]]*0.593*9057*211.9*10^(-9)</f>
        <v>0</v>
      </c>
      <c r="P337" s="337">
        <f>CompletedProjects[[#This Row],[Annual Emissions (MMTCO2)]]*40</f>
        <v>0</v>
      </c>
      <c r="Q337" s="167"/>
      <c r="R337" s="167" t="s">
        <v>400</v>
      </c>
      <c r="S337" s="167" t="s">
        <v>465</v>
      </c>
      <c r="T337" s="167"/>
      <c r="U337" s="2"/>
      <c r="V337" s="2"/>
      <c r="Y337" s="2"/>
    </row>
    <row r="338" spans="1:25" ht="28.7">
      <c r="A338" s="167" t="s">
        <v>33</v>
      </c>
      <c r="B338" s="167" t="s">
        <v>477</v>
      </c>
      <c r="C338" s="194" t="s">
        <v>464</v>
      </c>
      <c r="D338" s="172">
        <v>14325511.997638566</v>
      </c>
      <c r="E338" s="173" t="s">
        <v>501</v>
      </c>
      <c r="F338" s="173" t="s">
        <v>502</v>
      </c>
      <c r="G338" s="262" t="s">
        <v>944</v>
      </c>
      <c r="H338" s="173" t="s">
        <v>493</v>
      </c>
      <c r="I338" s="180" t="s">
        <v>283</v>
      </c>
      <c r="J338" s="173" t="s">
        <v>26</v>
      </c>
      <c r="K338" s="241">
        <v>40840</v>
      </c>
      <c r="L338" s="173"/>
      <c r="M338" s="262"/>
      <c r="N338" s="256">
        <f>(50+106)/4</f>
        <v>39</v>
      </c>
      <c r="O338" s="461">
        <f>CompletedProjects[[#This Row],[Power Plant Size (MW) or Share]]*0.593*9057*211.9*10^(-9)</f>
        <v>4.4384836544100005E-2</v>
      </c>
      <c r="P338" s="337">
        <f>CompletedProjects[[#This Row],[Annual Emissions (MMTCO2)]]*40</f>
        <v>1.7753934617640001</v>
      </c>
      <c r="Q338" s="204"/>
      <c r="R338" s="167" t="s">
        <v>503</v>
      </c>
      <c r="S338" s="167"/>
      <c r="T338" s="167"/>
      <c r="U338" s="2"/>
      <c r="V338" s="2"/>
      <c r="Y338" s="2"/>
    </row>
    <row r="339" spans="1:25" ht="71.7">
      <c r="A339" s="181" t="s">
        <v>33</v>
      </c>
      <c r="B339" s="182" t="s">
        <v>559</v>
      </c>
      <c r="C339" s="182" t="s">
        <v>464</v>
      </c>
      <c r="D339" s="172">
        <v>7311834.7986874059</v>
      </c>
      <c r="E339" s="173" t="s">
        <v>591</v>
      </c>
      <c r="F339" s="173" t="s">
        <v>590</v>
      </c>
      <c r="G339" s="265" t="s">
        <v>794</v>
      </c>
      <c r="H339" s="173" t="s">
        <v>45</v>
      </c>
      <c r="I339" s="180" t="s">
        <v>283</v>
      </c>
      <c r="J339" s="173" t="s">
        <v>277</v>
      </c>
      <c r="K339" s="240">
        <v>39553</v>
      </c>
      <c r="L339" s="173" t="s">
        <v>906</v>
      </c>
      <c r="M339" s="262"/>
      <c r="N339" s="337"/>
      <c r="O339" s="461">
        <f>CompletedProjects[[#This Row],[Power Plant Size (MW) or Share]]*0.593*9057*211.9*10^(-9)</f>
        <v>0</v>
      </c>
      <c r="P339" s="337">
        <f>CompletedProjects[[#This Row],[Annual Emissions (MMTCO2)]]*40</f>
        <v>0</v>
      </c>
      <c r="Q339" s="176"/>
      <c r="R339" s="178"/>
      <c r="S339" s="167"/>
      <c r="T339" s="178"/>
      <c r="U339" s="2"/>
      <c r="V339" s="2"/>
      <c r="Y339" s="2"/>
    </row>
    <row r="340" spans="1:25" ht="43">
      <c r="A340" s="181" t="s">
        <v>33</v>
      </c>
      <c r="B340" s="182" t="s">
        <v>559</v>
      </c>
      <c r="C340" s="182" t="s">
        <v>464</v>
      </c>
      <c r="D340" s="172"/>
      <c r="E340" s="173" t="s">
        <v>611</v>
      </c>
      <c r="F340" s="173" t="s">
        <v>612</v>
      </c>
      <c r="G340" s="262" t="s">
        <v>804</v>
      </c>
      <c r="H340" s="173" t="s">
        <v>613</v>
      </c>
      <c r="I340" s="180" t="s">
        <v>283</v>
      </c>
      <c r="J340" s="173" t="s">
        <v>277</v>
      </c>
      <c r="K340" s="240">
        <v>39814</v>
      </c>
      <c r="L340" s="197"/>
      <c r="M340" s="262"/>
      <c r="N340" s="337"/>
      <c r="O340" s="461">
        <f>CompletedProjects[[#This Row],[Power Plant Size (MW) or Share]]*0.593*9057*211.9*10^(-9)</f>
        <v>0</v>
      </c>
      <c r="P340" s="337">
        <f>CompletedProjects[[#This Row],[Annual Emissions (MMTCO2)]]*40</f>
        <v>0</v>
      </c>
      <c r="Q340" s="176"/>
      <c r="R340" s="173" t="s">
        <v>914</v>
      </c>
      <c r="S340" s="167" t="s">
        <v>1688</v>
      </c>
      <c r="T340" s="173"/>
      <c r="U340" s="2"/>
      <c r="V340" s="2"/>
      <c r="Y340" s="2"/>
    </row>
    <row r="341" spans="1:25" ht="71.7">
      <c r="A341" s="181" t="s">
        <v>33</v>
      </c>
      <c r="B341" s="182" t="s">
        <v>559</v>
      </c>
      <c r="C341" s="182" t="s">
        <v>464</v>
      </c>
      <c r="D341" s="172">
        <v>4974929.1051938375</v>
      </c>
      <c r="E341" s="173" t="s">
        <v>604</v>
      </c>
      <c r="F341" s="173" t="s">
        <v>605</v>
      </c>
      <c r="G341" s="262" t="s">
        <v>802</v>
      </c>
      <c r="H341" s="173" t="s">
        <v>493</v>
      </c>
      <c r="I341" s="180" t="s">
        <v>283</v>
      </c>
      <c r="J341" s="173" t="s">
        <v>277</v>
      </c>
      <c r="K341" s="240">
        <v>40589</v>
      </c>
      <c r="L341" s="173" t="s">
        <v>1693</v>
      </c>
      <c r="M341" s="262"/>
      <c r="N341" s="337">
        <f>154/12</f>
        <v>12.833333333333334</v>
      </c>
      <c r="O341" s="461">
        <f>CompletedProjects[[#This Row],[Power Plant Size (MW) or Share]]*0.593*9057*211.9*10^(-9)</f>
        <v>1.460526672605E-2</v>
      </c>
      <c r="P341" s="337">
        <f>CompletedProjects[[#This Row],[Annual Emissions (MMTCO2)]]*40</f>
        <v>0.58421066904200003</v>
      </c>
      <c r="Q341" s="176"/>
      <c r="R341" s="178" t="s">
        <v>537</v>
      </c>
      <c r="S341" s="167"/>
      <c r="T341" s="178"/>
      <c r="U341" s="2"/>
      <c r="V341" s="2"/>
      <c r="Y341" s="2"/>
    </row>
    <row r="342" spans="1:25" ht="43">
      <c r="A342" s="181" t="s">
        <v>33</v>
      </c>
      <c r="B342" s="182" t="s">
        <v>559</v>
      </c>
      <c r="C342" s="182" t="s">
        <v>464</v>
      </c>
      <c r="D342" s="172">
        <v>3163317.8843691777</v>
      </c>
      <c r="E342" s="173" t="s">
        <v>587</v>
      </c>
      <c r="F342" s="173" t="s">
        <v>587</v>
      </c>
      <c r="G342" s="262" t="s">
        <v>792</v>
      </c>
      <c r="H342" s="173" t="s">
        <v>39</v>
      </c>
      <c r="I342" s="180" t="s">
        <v>283</v>
      </c>
      <c r="J342" s="173" t="s">
        <v>277</v>
      </c>
      <c r="K342" s="240">
        <v>39415</v>
      </c>
      <c r="L342" s="167" t="s">
        <v>904</v>
      </c>
      <c r="M342" s="262"/>
      <c r="N342" s="338">
        <f>550/12</f>
        <v>45.833333333333336</v>
      </c>
      <c r="O342" s="461">
        <f>CompletedProjects[[#This Row],[Power Plant Size (MW) or Share]]*0.593*9057*211.9*10^(-9)</f>
        <v>5.2161666878750006E-2</v>
      </c>
      <c r="P342" s="337">
        <f>CompletedProjects[[#This Row],[Annual Emissions (MMTCO2)]]*40</f>
        <v>2.0864666751500001</v>
      </c>
      <c r="Q342" s="176"/>
      <c r="R342" s="178" t="s">
        <v>537</v>
      </c>
      <c r="S342" s="167"/>
      <c r="T342" s="178"/>
      <c r="U342" s="2"/>
      <c r="V342" s="2"/>
      <c r="Y342" s="2"/>
    </row>
    <row r="343" spans="1:25" ht="57.35">
      <c r="A343" s="167" t="s">
        <v>33</v>
      </c>
      <c r="B343" s="171" t="s">
        <v>27</v>
      </c>
      <c r="C343" s="171" t="s">
        <v>336</v>
      </c>
      <c r="D343" s="172">
        <v>93916935.606000006</v>
      </c>
      <c r="E343" s="173" t="s">
        <v>23</v>
      </c>
      <c r="F343" s="173" t="s">
        <v>28</v>
      </c>
      <c r="G343" s="262" t="s">
        <v>693</v>
      </c>
      <c r="H343" s="173" t="s">
        <v>25</v>
      </c>
      <c r="I343" s="180" t="s">
        <v>283</v>
      </c>
      <c r="J343" s="173" t="s">
        <v>26</v>
      </c>
      <c r="K343" s="248">
        <v>40756</v>
      </c>
      <c r="L343" s="173" t="s">
        <v>29</v>
      </c>
      <c r="M343" s="262"/>
      <c r="N343" s="465"/>
      <c r="O343" s="461">
        <f>CompletedProjects[[#This Row],[Power Plant Size (MW) or Share]]*0.593*9057*211.9*10^(-9)</f>
        <v>0</v>
      </c>
      <c r="P343" s="337">
        <f>CompletedProjects[[#This Row],[Annual Emissions (MMTCO2)]]*40</f>
        <v>0</v>
      </c>
      <c r="Q343" s="176"/>
      <c r="R343" s="178"/>
      <c r="S343" s="167"/>
      <c r="T343" s="178"/>
      <c r="U343" s="2"/>
      <c r="V343" s="2"/>
      <c r="Y343" s="2"/>
    </row>
    <row r="344" spans="1:25" ht="57.35">
      <c r="A344" s="181" t="s">
        <v>33</v>
      </c>
      <c r="B344" s="182" t="s">
        <v>445</v>
      </c>
      <c r="C344" s="182" t="s">
        <v>464</v>
      </c>
      <c r="D344" s="172">
        <f>450000000*'Dev Bank Share by Country'!$G$61</f>
        <v>21220831.792464558</v>
      </c>
      <c r="E344" s="183" t="s">
        <v>1395</v>
      </c>
      <c r="F344" s="183" t="s">
        <v>1393</v>
      </c>
      <c r="G344" s="267" t="s">
        <v>1394</v>
      </c>
      <c r="H344" s="183" t="s">
        <v>65</v>
      </c>
      <c r="I344" s="180" t="s">
        <v>283</v>
      </c>
      <c r="J344" s="183" t="s">
        <v>26</v>
      </c>
      <c r="K344" s="242">
        <v>39562</v>
      </c>
      <c r="L344" s="183" t="s">
        <v>1396</v>
      </c>
      <c r="M344" s="262" t="s">
        <v>768</v>
      </c>
      <c r="N344" s="338">
        <f>4000/3/20</f>
        <v>66.666666666666657</v>
      </c>
      <c r="O344" s="461">
        <f>CompletedProjects[[#This Row],[Power Plant Size (MW) or Share]]*0.593*9057*211.9*10^(-9)</f>
        <v>7.5871515459999983E-2</v>
      </c>
      <c r="P344" s="337">
        <f>CompletedProjects[[#This Row],[Annual Emissions (MMTCO2)]]*40</f>
        <v>3.0348606183999993</v>
      </c>
      <c r="Q344" s="169"/>
      <c r="R344" s="185"/>
      <c r="S344" s="181"/>
      <c r="T344" s="185"/>
      <c r="U344" s="2"/>
      <c r="V344" s="2"/>
      <c r="Y344" s="2"/>
    </row>
    <row r="345" spans="1:25" ht="86">
      <c r="A345" s="167" t="s">
        <v>33</v>
      </c>
      <c r="B345" s="186" t="s">
        <v>519</v>
      </c>
      <c r="C345" s="186" t="s">
        <v>464</v>
      </c>
      <c r="D345" s="172">
        <f>200000*'Dev Bank Share by Country'!$K$61</f>
        <v>4660</v>
      </c>
      <c r="E345" s="173" t="s">
        <v>528</v>
      </c>
      <c r="F345" s="173" t="s">
        <v>529</v>
      </c>
      <c r="G345" s="262"/>
      <c r="H345" s="173" t="s">
        <v>239</v>
      </c>
      <c r="I345" s="180" t="s">
        <v>283</v>
      </c>
      <c r="J345" s="173" t="s">
        <v>26</v>
      </c>
      <c r="K345" s="241">
        <v>39729</v>
      </c>
      <c r="L345" s="183" t="s">
        <v>1709</v>
      </c>
      <c r="M345" s="262"/>
      <c r="N345" s="337"/>
      <c r="O345" s="461">
        <f>CompletedProjects[[#This Row],[Power Plant Size (MW) or Share]]*0.593*9057*211.9*10^(-9)</f>
        <v>0</v>
      </c>
      <c r="P345" s="337">
        <f>CompletedProjects[[#This Row],[Annual Emissions (MMTCO2)]]*40</f>
        <v>0</v>
      </c>
      <c r="Q345" s="176"/>
      <c r="R345" s="178" t="s">
        <v>530</v>
      </c>
      <c r="S345" s="167"/>
      <c r="T345" s="178"/>
      <c r="U345" s="22"/>
      <c r="V345" s="2"/>
      <c r="X345" s="30"/>
      <c r="Y345" s="2"/>
    </row>
    <row r="346" spans="1:25" ht="28.7">
      <c r="A346" s="167" t="s">
        <v>33</v>
      </c>
      <c r="B346" s="167" t="s">
        <v>477</v>
      </c>
      <c r="C346" s="194" t="s">
        <v>464</v>
      </c>
      <c r="D346" s="172">
        <v>92899168.101598889</v>
      </c>
      <c r="E346" s="173" t="s">
        <v>498</v>
      </c>
      <c r="F346" s="173" t="s">
        <v>499</v>
      </c>
      <c r="G346" s="262" t="s">
        <v>943</v>
      </c>
      <c r="H346" s="173" t="s">
        <v>481</v>
      </c>
      <c r="I346" s="180" t="s">
        <v>283</v>
      </c>
      <c r="J346" s="173" t="s">
        <v>26</v>
      </c>
      <c r="K346" s="241">
        <v>40290</v>
      </c>
      <c r="L346" s="173" t="s">
        <v>500</v>
      </c>
      <c r="M346" s="262"/>
      <c r="N346" s="256"/>
      <c r="O346" s="461">
        <f>CompletedProjects[[#This Row],[Power Plant Size (MW) or Share]]*0.593*9057*211.9*10^(-9)</f>
        <v>0</v>
      </c>
      <c r="P346" s="337">
        <f>CompletedProjects[[#This Row],[Annual Emissions (MMTCO2)]]*40</f>
        <v>0</v>
      </c>
      <c r="Q346" s="204"/>
      <c r="R346" s="167"/>
      <c r="S346" s="167"/>
      <c r="T346" s="167"/>
      <c r="U346" s="2"/>
      <c r="V346" s="2"/>
      <c r="Y346" s="2"/>
    </row>
    <row r="347" spans="1:25" ht="229.35">
      <c r="A347" s="167" t="s">
        <v>33</v>
      </c>
      <c r="B347" s="167" t="s">
        <v>414</v>
      </c>
      <c r="C347" s="167" t="s">
        <v>464</v>
      </c>
      <c r="D347" s="172">
        <f>1000000000*'Dev Bank Share by Country'!$C$61</f>
        <v>41500000</v>
      </c>
      <c r="E347" s="173" t="s">
        <v>425</v>
      </c>
      <c r="F347" s="173" t="s">
        <v>427</v>
      </c>
      <c r="G347" s="262" t="s">
        <v>778</v>
      </c>
      <c r="H347" s="173" t="s">
        <v>65</v>
      </c>
      <c r="I347" s="173" t="s">
        <v>1507</v>
      </c>
      <c r="J347" s="173" t="s">
        <v>428</v>
      </c>
      <c r="K347" s="241">
        <v>40078</v>
      </c>
      <c r="L347" s="173" t="s">
        <v>824</v>
      </c>
      <c r="M347" s="262"/>
      <c r="N347" s="256"/>
      <c r="O347" s="461">
        <f>CompletedProjects[[#This Row],[Power Plant Size (MW) or Share]]*0.593*9057*211.9*10^(-9)</f>
        <v>0</v>
      </c>
      <c r="P347" s="337">
        <f>CompletedProjects[[#This Row],[Annual Emissions (MMTCO2)]]*40</f>
        <v>0</v>
      </c>
      <c r="Q347" s="167"/>
      <c r="R347" s="167" t="s">
        <v>400</v>
      </c>
      <c r="S347" s="167" t="s">
        <v>465</v>
      </c>
      <c r="T347" s="167"/>
      <c r="U347" s="2"/>
      <c r="V347" s="2"/>
      <c r="Y347" s="2"/>
    </row>
    <row r="348" spans="1:25" ht="86">
      <c r="A348" s="167" t="s">
        <v>33</v>
      </c>
      <c r="B348" s="167" t="s">
        <v>477</v>
      </c>
      <c r="C348" s="167" t="s">
        <v>464</v>
      </c>
      <c r="D348" s="172">
        <v>25070873.909512851</v>
      </c>
      <c r="E348" s="173" t="s">
        <v>480</v>
      </c>
      <c r="F348" s="173" t="s">
        <v>518</v>
      </c>
      <c r="G348" s="262" t="s">
        <v>933</v>
      </c>
      <c r="H348" s="173" t="s">
        <v>481</v>
      </c>
      <c r="I348" s="180" t="s">
        <v>283</v>
      </c>
      <c r="J348" s="173" t="s">
        <v>26</v>
      </c>
      <c r="K348" s="241">
        <v>39352</v>
      </c>
      <c r="L348" s="173"/>
      <c r="M348" s="262" t="s">
        <v>934</v>
      </c>
      <c r="N348" s="150">
        <f>(600+120)/4</f>
        <v>180</v>
      </c>
      <c r="O348" s="461">
        <f>CompletedProjects[[#This Row],[Power Plant Size (MW) or Share]]*0.593*9057*211.9*10^(-9)</f>
        <v>0.204853091742</v>
      </c>
      <c r="P348" s="337">
        <f>CompletedProjects[[#This Row],[Annual Emissions (MMTCO2)]]*40</f>
        <v>8.1941236696799997</v>
      </c>
      <c r="Q348" s="203"/>
      <c r="R348" s="167" t="s">
        <v>474</v>
      </c>
      <c r="S348" s="167"/>
      <c r="T348" s="167"/>
      <c r="U348" s="2"/>
      <c r="V348" s="2"/>
      <c r="Y348" s="2"/>
    </row>
    <row r="349" spans="1:25" ht="43">
      <c r="A349" s="167" t="s">
        <v>33</v>
      </c>
      <c r="B349" s="171" t="s">
        <v>559</v>
      </c>
      <c r="C349" s="171" t="s">
        <v>464</v>
      </c>
      <c r="D349" s="172">
        <v>11884552.8624075</v>
      </c>
      <c r="E349" s="173" t="s">
        <v>600</v>
      </c>
      <c r="F349" s="173" t="s">
        <v>601</v>
      </c>
      <c r="G349" s="262" t="s">
        <v>800</v>
      </c>
      <c r="H349" s="173" t="s">
        <v>481</v>
      </c>
      <c r="I349" s="180" t="s">
        <v>283</v>
      </c>
      <c r="J349" s="173" t="s">
        <v>277</v>
      </c>
      <c r="K349" s="240">
        <v>40544</v>
      </c>
      <c r="L349" s="173" t="s">
        <v>909</v>
      </c>
      <c r="M349" s="267"/>
      <c r="N349" s="338">
        <f>600/12</f>
        <v>50</v>
      </c>
      <c r="O349" s="461">
        <f>CompletedProjects[[#This Row],[Power Plant Size (MW) or Share]]*0.593*9057*211.9*10^(-9)</f>
        <v>5.6903636595000001E-2</v>
      </c>
      <c r="P349" s="337">
        <f>CompletedProjects[[#This Row],[Annual Emissions (MMTCO2)]]*40</f>
        <v>2.2761454637999998</v>
      </c>
      <c r="Q349" s="169"/>
      <c r="R349" s="185"/>
      <c r="S349" s="181"/>
      <c r="T349" s="185"/>
      <c r="U349" s="2"/>
      <c r="V349" s="2"/>
      <c r="Y349" s="2"/>
    </row>
    <row r="350" spans="1:25" ht="71.7">
      <c r="A350" s="167" t="s">
        <v>33</v>
      </c>
      <c r="B350" s="171" t="s">
        <v>27</v>
      </c>
      <c r="C350" s="171" t="s">
        <v>336</v>
      </c>
      <c r="D350" s="172">
        <v>705914063.51189995</v>
      </c>
      <c r="E350" s="173" t="s">
        <v>23</v>
      </c>
      <c r="F350" s="173" t="s">
        <v>30</v>
      </c>
      <c r="G350" s="262" t="s">
        <v>684</v>
      </c>
      <c r="H350" s="173" t="s">
        <v>25</v>
      </c>
      <c r="I350" s="180" t="s">
        <v>283</v>
      </c>
      <c r="J350" s="173" t="s">
        <v>26</v>
      </c>
      <c r="K350" s="248">
        <v>40940</v>
      </c>
      <c r="L350" s="173" t="s">
        <v>863</v>
      </c>
      <c r="M350" s="262" t="s">
        <v>862</v>
      </c>
      <c r="N350" s="337">
        <v>800</v>
      </c>
      <c r="O350" s="461">
        <f>CompletedProjects[[#This Row],[Power Plant Size (MW) or Share]]*0.593*9057*211.9*10^(-9)</f>
        <v>0.91045818552000002</v>
      </c>
      <c r="P350" s="337">
        <f>CompletedProjects[[#This Row],[Annual Emissions (MMTCO2)]]*40</f>
        <v>36.418327420799997</v>
      </c>
      <c r="Q350" s="176"/>
      <c r="R350" s="178" t="s">
        <v>349</v>
      </c>
      <c r="S350" s="167"/>
      <c r="T350" s="178"/>
      <c r="U350" s="2"/>
      <c r="V350" s="2"/>
      <c r="Y350" s="2"/>
    </row>
    <row r="351" spans="1:25" ht="86">
      <c r="A351" s="167" t="s">
        <v>33</v>
      </c>
      <c r="B351" s="171" t="s">
        <v>22</v>
      </c>
      <c r="C351" s="171" t="s">
        <v>336</v>
      </c>
      <c r="D351" s="172">
        <v>83563944.476999998</v>
      </c>
      <c r="E351" s="173" t="s">
        <v>23</v>
      </c>
      <c r="F351" s="173" t="s">
        <v>31</v>
      </c>
      <c r="G351" s="262" t="s">
        <v>703</v>
      </c>
      <c r="H351" s="173" t="s">
        <v>25</v>
      </c>
      <c r="I351" s="173" t="s">
        <v>284</v>
      </c>
      <c r="J351" s="173" t="s">
        <v>1498</v>
      </c>
      <c r="K351" s="248">
        <v>41395</v>
      </c>
      <c r="L351" s="173" t="s">
        <v>32</v>
      </c>
      <c r="M351" s="262"/>
      <c r="N351" s="337">
        <v>800</v>
      </c>
      <c r="O351" s="461">
        <f>CompletedProjects[[#This Row],[Power Plant Size (MW) or Share]]*0.593*9057*211.9*10^(-9)</f>
        <v>0.91045818552000002</v>
      </c>
      <c r="P351" s="337">
        <f>CompletedProjects[[#This Row],[Annual Emissions (MMTCO2)]]*40</f>
        <v>36.418327420799997</v>
      </c>
      <c r="Q351" s="176"/>
      <c r="R351" s="178" t="s">
        <v>349</v>
      </c>
      <c r="S351" s="167"/>
      <c r="T351" s="178"/>
      <c r="U351" s="2"/>
      <c r="V351" s="2"/>
      <c r="Y351" s="2"/>
    </row>
    <row r="352" spans="1:25" ht="57.35">
      <c r="A352" s="167" t="s">
        <v>33</v>
      </c>
      <c r="B352" s="167" t="s">
        <v>401</v>
      </c>
      <c r="C352" s="167" t="s">
        <v>464</v>
      </c>
      <c r="D352" s="172">
        <f>21000000*'Dev Bank Share by Country'!$E$61</f>
        <v>795635.77519794065</v>
      </c>
      <c r="E352" s="173" t="s">
        <v>434</v>
      </c>
      <c r="F352" s="173" t="s">
        <v>435</v>
      </c>
      <c r="G352" s="262" t="s">
        <v>789</v>
      </c>
      <c r="H352" s="173" t="s">
        <v>436</v>
      </c>
      <c r="I352" s="173" t="s">
        <v>284</v>
      </c>
      <c r="J352" s="173" t="s">
        <v>1498</v>
      </c>
      <c r="K352" s="241">
        <v>40801</v>
      </c>
      <c r="L352" s="173" t="s">
        <v>896</v>
      </c>
      <c r="M352" s="273" t="s">
        <v>775</v>
      </c>
      <c r="N352" s="256"/>
      <c r="O352" s="461">
        <f>CompletedProjects[[#This Row],[Power Plant Size (MW) or Share]]*0.593*9057*211.9*10^(-9)</f>
        <v>0</v>
      </c>
      <c r="P352" s="337">
        <f>CompletedProjects[[#This Row],[Annual Emissions (MMTCO2)]]*40</f>
        <v>0</v>
      </c>
      <c r="Q352" s="167"/>
      <c r="R352" s="167" t="s">
        <v>400</v>
      </c>
      <c r="S352" s="167"/>
      <c r="T352" s="167"/>
      <c r="U352" s="2"/>
      <c r="V352" s="2"/>
      <c r="Y352" s="2"/>
    </row>
    <row r="353" spans="1:25" ht="57.35">
      <c r="A353" s="167" t="s">
        <v>33</v>
      </c>
      <c r="B353" s="167" t="s">
        <v>397</v>
      </c>
      <c r="C353" s="167" t="s">
        <v>464</v>
      </c>
      <c r="D353" s="172">
        <f>18000000*'Dev Bank Share by Country'!$G$61</f>
        <v>848833.27169858234</v>
      </c>
      <c r="E353" s="173" t="s">
        <v>407</v>
      </c>
      <c r="F353" s="173" t="s">
        <v>407</v>
      </c>
      <c r="G353" s="262" t="s">
        <v>776</v>
      </c>
      <c r="H353" s="173" t="s">
        <v>408</v>
      </c>
      <c r="I353" s="180" t="s">
        <v>283</v>
      </c>
      <c r="J353" s="173" t="s">
        <v>409</v>
      </c>
      <c r="K353" s="241">
        <v>39254</v>
      </c>
      <c r="L353" s="173" t="s">
        <v>816</v>
      </c>
      <c r="M353" s="262"/>
      <c r="N353" s="256">
        <f>60/19</f>
        <v>3.1578947368421053</v>
      </c>
      <c r="O353" s="461">
        <f>CompletedProjects[[#This Row],[Power Plant Size (MW) or Share]]*0.593*9057*211.9*10^(-9)</f>
        <v>3.5939138902105262E-3</v>
      </c>
      <c r="P353" s="337">
        <f>CompletedProjects[[#This Row],[Annual Emissions (MMTCO2)]]*40</f>
        <v>0.14375655560842104</v>
      </c>
      <c r="Q353" s="167"/>
      <c r="R353" s="167" t="s">
        <v>636</v>
      </c>
      <c r="S353" s="167" t="s">
        <v>633</v>
      </c>
      <c r="T353" s="167"/>
      <c r="U353" s="2"/>
      <c r="V353" s="2"/>
      <c r="Y353" s="2"/>
    </row>
    <row r="354" spans="1:25" ht="86">
      <c r="A354" s="167" t="s">
        <v>33</v>
      </c>
      <c r="B354" s="167" t="s">
        <v>401</v>
      </c>
      <c r="C354" s="167" t="s">
        <v>464</v>
      </c>
      <c r="D354" s="172">
        <f>7500000*'Dev Bank Share by Country'!$E$61</f>
        <v>284155.63399926451</v>
      </c>
      <c r="E354" s="173" t="s">
        <v>456</v>
      </c>
      <c r="F354" s="173" t="s">
        <v>457</v>
      </c>
      <c r="G354" s="262" t="s">
        <v>794</v>
      </c>
      <c r="H354" s="173" t="s">
        <v>458</v>
      </c>
      <c r="I354" s="180" t="s">
        <v>283</v>
      </c>
      <c r="J354" s="173" t="s">
        <v>26</v>
      </c>
      <c r="K354" s="241">
        <v>41627</v>
      </c>
      <c r="L354" s="173" t="s">
        <v>899</v>
      </c>
      <c r="M354" s="262"/>
      <c r="N354" s="256">
        <f>125/19</f>
        <v>6.5789473684210522</v>
      </c>
      <c r="O354" s="461">
        <f>CompletedProjects[[#This Row],[Power Plant Size (MW) or Share]]*0.593*9057*211.9*10^(-9)</f>
        <v>7.487320604605263E-3</v>
      </c>
      <c r="P354" s="337">
        <f>CompletedProjects[[#This Row],[Annual Emissions (MMTCO2)]]*40</f>
        <v>0.29949282418421053</v>
      </c>
      <c r="Q354" s="167"/>
      <c r="R354" s="167" t="s">
        <v>637</v>
      </c>
      <c r="S354" s="167" t="s">
        <v>633</v>
      </c>
      <c r="T354" s="167" t="s">
        <v>537</v>
      </c>
      <c r="U354" s="2"/>
      <c r="V354" s="2"/>
      <c r="Y354" s="2"/>
    </row>
    <row r="355" spans="1:25" ht="100.35">
      <c r="A355" s="167" t="s">
        <v>33</v>
      </c>
      <c r="B355" s="167" t="s">
        <v>397</v>
      </c>
      <c r="C355" s="167" t="s">
        <v>464</v>
      </c>
      <c r="D355" s="172">
        <f>146970000*'Dev Bank Share by Country'!$G$61</f>
        <v>6930723.6634189254</v>
      </c>
      <c r="E355" s="173" t="s">
        <v>459</v>
      </c>
      <c r="F355" s="173" t="s">
        <v>460</v>
      </c>
      <c r="G355" s="262" t="s">
        <v>784</v>
      </c>
      <c r="H355" s="173" t="s">
        <v>239</v>
      </c>
      <c r="I355" s="180" t="s">
        <v>283</v>
      </c>
      <c r="J355" s="173" t="s">
        <v>26</v>
      </c>
      <c r="K355" s="241">
        <v>41701</v>
      </c>
      <c r="L355" s="173" t="s">
        <v>900</v>
      </c>
      <c r="M355" s="262"/>
      <c r="N355" s="256"/>
      <c r="O355" s="461">
        <f>CompletedProjects[[#This Row],[Power Plant Size (MW) or Share]]*0.593*9057*211.9*10^(-9)</f>
        <v>0</v>
      </c>
      <c r="P355" s="337">
        <f>CompletedProjects[[#This Row],[Annual Emissions (MMTCO2)]]*40</f>
        <v>0</v>
      </c>
      <c r="Q355" s="167"/>
      <c r="R355" s="167" t="s">
        <v>400</v>
      </c>
      <c r="S355" s="167" t="s">
        <v>465</v>
      </c>
      <c r="T355" s="167"/>
      <c r="U355" s="2"/>
      <c r="V355" s="2"/>
      <c r="Y355" s="2"/>
    </row>
    <row r="356" spans="1:25" ht="28.7">
      <c r="A356" s="183" t="s">
        <v>33</v>
      </c>
      <c r="B356" s="183" t="s">
        <v>519</v>
      </c>
      <c r="C356" s="183" t="s">
        <v>464</v>
      </c>
      <c r="D356" s="172">
        <f>120000000*'Dev Bank Share by Country'!$K$61</f>
        <v>2796000</v>
      </c>
      <c r="E356" s="173" t="s">
        <v>533</v>
      </c>
      <c r="F356" s="173" t="s">
        <v>534</v>
      </c>
      <c r="G356" s="262"/>
      <c r="H356" s="173" t="s">
        <v>95</v>
      </c>
      <c r="I356" s="180" t="s">
        <v>283</v>
      </c>
      <c r="J356" s="173" t="s">
        <v>277</v>
      </c>
      <c r="K356" s="241">
        <v>40158</v>
      </c>
      <c r="L356" s="173" t="s">
        <v>535</v>
      </c>
      <c r="M356" s="262"/>
      <c r="N356" s="337">
        <f>200/13</f>
        <v>15.384615384615385</v>
      </c>
      <c r="O356" s="461">
        <f>CompletedProjects[[#This Row],[Power Plant Size (MW) or Share]]*0.593*9057*211.9*10^(-9)</f>
        <v>1.750881126E-2</v>
      </c>
      <c r="P356" s="337">
        <f>CompletedProjects[[#This Row],[Annual Emissions (MMTCO2)]]*40</f>
        <v>0.70035245040000005</v>
      </c>
      <c r="Q356" s="176"/>
      <c r="R356" s="178"/>
      <c r="S356" s="167"/>
      <c r="T356" s="178"/>
      <c r="U356" s="2"/>
      <c r="V356" s="2"/>
      <c r="Y356" s="2"/>
    </row>
    <row r="357" spans="1:25" ht="129">
      <c r="A357" s="167" t="s">
        <v>33</v>
      </c>
      <c r="B357" s="171" t="s">
        <v>509</v>
      </c>
      <c r="C357" s="171" t="s">
        <v>464</v>
      </c>
      <c r="D357" s="172">
        <v>7489013.7095569316</v>
      </c>
      <c r="E357" s="173" t="s">
        <v>556</v>
      </c>
      <c r="F357" s="173" t="s">
        <v>555</v>
      </c>
      <c r="G357" s="262"/>
      <c r="H357" s="173" t="s">
        <v>554</v>
      </c>
      <c r="I357" s="180" t="s">
        <v>283</v>
      </c>
      <c r="J357" s="173" t="s">
        <v>26</v>
      </c>
      <c r="K357" s="240">
        <v>42064</v>
      </c>
      <c r="L357" s="173" t="s">
        <v>857</v>
      </c>
      <c r="M357" s="262" t="s">
        <v>858</v>
      </c>
      <c r="N357" s="337"/>
      <c r="O357" s="461">
        <f>CompletedProjects[[#This Row],[Power Plant Size (MW) or Share]]*0.593*9057*211.9*10^(-9)</f>
        <v>0</v>
      </c>
      <c r="P357" s="337">
        <f>CompletedProjects[[#This Row],[Annual Emissions (MMTCO2)]]*40</f>
        <v>0</v>
      </c>
      <c r="Q357" s="176"/>
      <c r="R357" s="178" t="s">
        <v>537</v>
      </c>
      <c r="S357" s="167"/>
      <c r="T357" s="178"/>
      <c r="U357" s="2"/>
      <c r="V357" s="2"/>
      <c r="Y357" s="2"/>
    </row>
    <row r="358" spans="1:25" ht="43">
      <c r="A358" s="181" t="s">
        <v>33</v>
      </c>
      <c r="B358" s="182" t="s">
        <v>559</v>
      </c>
      <c r="C358" s="182" t="s">
        <v>464</v>
      </c>
      <c r="D358" s="172">
        <v>7574605.9476079065</v>
      </c>
      <c r="E358" s="173" t="s">
        <v>595</v>
      </c>
      <c r="F358" s="173" t="s">
        <v>594</v>
      </c>
      <c r="G358" s="262" t="s">
        <v>796</v>
      </c>
      <c r="H358" s="173" t="s">
        <v>45</v>
      </c>
      <c r="I358" s="180" t="s">
        <v>283</v>
      </c>
      <c r="J358" s="173" t="s">
        <v>277</v>
      </c>
      <c r="K358" s="240">
        <v>40032</v>
      </c>
      <c r="L358" s="173"/>
      <c r="M358" s="262"/>
      <c r="N358" s="338">
        <f>185/12</f>
        <v>15.416666666666666</v>
      </c>
      <c r="O358" s="461">
        <f>CompletedProjects[[#This Row],[Power Plant Size (MW) or Share]]*0.593*9057*211.9*10^(-9)</f>
        <v>1.7545287950124999E-2</v>
      </c>
      <c r="P358" s="337">
        <f>CompletedProjects[[#This Row],[Annual Emissions (MMTCO2)]]*40</f>
        <v>0.70181151800499997</v>
      </c>
      <c r="Q358" s="169"/>
      <c r="R358" s="185"/>
      <c r="S358" s="181"/>
      <c r="T358" s="185"/>
      <c r="U358" s="2"/>
      <c r="V358" s="2"/>
      <c r="Y358" s="2"/>
    </row>
    <row r="359" spans="1:25" ht="215">
      <c r="A359" s="181" t="s">
        <v>33</v>
      </c>
      <c r="B359" s="182" t="s">
        <v>509</v>
      </c>
      <c r="C359" s="182" t="s">
        <v>464</v>
      </c>
      <c r="D359" s="172">
        <v>42125702.116257735</v>
      </c>
      <c r="E359" s="173" t="s">
        <v>41</v>
      </c>
      <c r="F359" s="173" t="s">
        <v>553</v>
      </c>
      <c r="G359" s="262" t="s">
        <v>788</v>
      </c>
      <c r="H359" s="173" t="s">
        <v>25</v>
      </c>
      <c r="I359" s="173" t="s">
        <v>284</v>
      </c>
      <c r="J359" s="173" t="s">
        <v>79</v>
      </c>
      <c r="K359" s="240">
        <v>42359</v>
      </c>
      <c r="L359" s="173" t="s">
        <v>1326</v>
      </c>
      <c r="M359" s="262" t="s">
        <v>861</v>
      </c>
      <c r="N359" s="337"/>
      <c r="O359" s="461">
        <f>CompletedProjects[[#This Row],[Power Plant Size (MW) or Share]]*0.593*9057*211.9*10^(-9)</f>
        <v>0</v>
      </c>
      <c r="P359" s="337">
        <f>CompletedProjects[[#This Row],[Annual Emissions (MMTCO2)]]*40</f>
        <v>0</v>
      </c>
      <c r="Q359" s="176"/>
      <c r="R359" s="178"/>
      <c r="S359" s="167"/>
      <c r="T359" s="178"/>
      <c r="U359" s="2"/>
      <c r="V359" s="2"/>
      <c r="Y359" s="2"/>
    </row>
    <row r="360" spans="1:25" ht="100.35">
      <c r="A360" s="167" t="s">
        <v>33</v>
      </c>
      <c r="B360" s="167" t="s">
        <v>397</v>
      </c>
      <c r="C360" s="167" t="s">
        <v>464</v>
      </c>
      <c r="D360" s="172">
        <f>46500000*'Dev Bank Share by Country'!$G$61</f>
        <v>2192819.2852213378</v>
      </c>
      <c r="E360" s="173" t="s">
        <v>423</v>
      </c>
      <c r="F360" s="173" t="s">
        <v>424</v>
      </c>
      <c r="G360" s="262" t="s">
        <v>774</v>
      </c>
      <c r="H360" s="173" t="s">
        <v>65</v>
      </c>
      <c r="I360" s="173" t="s">
        <v>284</v>
      </c>
      <c r="J360" s="173" t="s">
        <v>79</v>
      </c>
      <c r="K360" s="241">
        <v>39898</v>
      </c>
      <c r="L360" s="173" t="s">
        <v>920</v>
      </c>
      <c r="M360" s="273"/>
      <c r="N360" s="256"/>
      <c r="O360" s="461">
        <f>CompletedProjects[[#This Row],[Power Plant Size (MW) or Share]]*0.593*9057*211.9*10^(-9)</f>
        <v>0</v>
      </c>
      <c r="P360" s="337">
        <f>CompletedProjects[[#This Row],[Annual Emissions (MMTCO2)]]*40</f>
        <v>0</v>
      </c>
      <c r="Q360" s="167"/>
      <c r="R360" s="167" t="s">
        <v>400</v>
      </c>
      <c r="S360" s="167" t="s">
        <v>465</v>
      </c>
      <c r="T360" s="167"/>
      <c r="U360" s="2"/>
      <c r="V360" s="2"/>
      <c r="Y360" s="2"/>
    </row>
    <row r="361" spans="1:25" ht="272.35000000000002">
      <c r="A361" s="167" t="s">
        <v>33</v>
      </c>
      <c r="B361" s="167" t="s">
        <v>414</v>
      </c>
      <c r="C361" s="167" t="s">
        <v>464</v>
      </c>
      <c r="D361" s="172">
        <f>29600000*'Dev Bank Share by Country'!$C$61</f>
        <v>1228400</v>
      </c>
      <c r="E361" s="173" t="s">
        <v>266</v>
      </c>
      <c r="F361" s="173" t="s">
        <v>1316</v>
      </c>
      <c r="G361" s="262" t="s">
        <v>781</v>
      </c>
      <c r="H361" s="173" t="s">
        <v>85</v>
      </c>
      <c r="I361" s="173" t="s">
        <v>284</v>
      </c>
      <c r="J361" s="173" t="s">
        <v>1498</v>
      </c>
      <c r="K361" s="241">
        <v>41163</v>
      </c>
      <c r="L361" s="173" t="s">
        <v>825</v>
      </c>
      <c r="M361" s="262"/>
      <c r="N361" s="256"/>
      <c r="O361" s="461">
        <f>CompletedProjects[[#This Row],[Power Plant Size (MW) or Share]]*0.593*9057*211.9*10^(-9)</f>
        <v>0</v>
      </c>
      <c r="P361" s="337">
        <f>CompletedProjects[[#This Row],[Annual Emissions (MMTCO2)]]*40</f>
        <v>0</v>
      </c>
      <c r="Q361" s="167"/>
      <c r="R361" s="167" t="s">
        <v>400</v>
      </c>
      <c r="S361" s="167" t="s">
        <v>465</v>
      </c>
      <c r="T361" s="167"/>
      <c r="U361" s="2"/>
      <c r="V361" s="2"/>
      <c r="Y361" s="2"/>
    </row>
    <row r="362" spans="1:25" ht="43">
      <c r="A362" s="181" t="s">
        <v>33</v>
      </c>
      <c r="B362" s="182" t="s">
        <v>559</v>
      </c>
      <c r="C362" s="182" t="s">
        <v>464</v>
      </c>
      <c r="D362" s="172">
        <v>1452552.1616394678</v>
      </c>
      <c r="E362" s="173" t="s">
        <v>598</v>
      </c>
      <c r="F362" s="173" t="s">
        <v>598</v>
      </c>
      <c r="G362" s="262" t="s">
        <v>798</v>
      </c>
      <c r="H362" s="173" t="s">
        <v>201</v>
      </c>
      <c r="I362" s="173" t="s">
        <v>40</v>
      </c>
      <c r="J362" s="173" t="s">
        <v>40</v>
      </c>
      <c r="K362" s="240">
        <v>40199</v>
      </c>
      <c r="L362" s="269" t="s">
        <v>1691</v>
      </c>
      <c r="M362" s="262"/>
      <c r="N362" s="337"/>
      <c r="O362" s="461">
        <f>CompletedProjects[[#This Row],[Power Plant Size (MW) or Share]]*0.593*9057*211.9*10^(-9)</f>
        <v>0</v>
      </c>
      <c r="P362" s="337">
        <f>CompletedProjects[[#This Row],[Annual Emissions (MMTCO2)]]*40</f>
        <v>0</v>
      </c>
      <c r="Q362" s="176"/>
      <c r="R362" s="178"/>
      <c r="S362" s="167"/>
      <c r="T362" s="178"/>
      <c r="U362" s="2"/>
      <c r="V362" s="2"/>
      <c r="Y362" s="2"/>
    </row>
    <row r="363" spans="1:25" ht="157.69999999999999">
      <c r="A363" s="167" t="s">
        <v>33</v>
      </c>
      <c r="B363" s="167" t="s">
        <v>401</v>
      </c>
      <c r="C363" s="167" t="s">
        <v>464</v>
      </c>
      <c r="D363" s="172">
        <f>2000000*'Dev Bank Share by Country'!$E$61</f>
        <v>75774.835733137195</v>
      </c>
      <c r="E363" s="173" t="s">
        <v>410</v>
      </c>
      <c r="F363" s="173" t="s">
        <v>411</v>
      </c>
      <c r="G363" s="262" t="s">
        <v>777</v>
      </c>
      <c r="H363" s="173" t="s">
        <v>412</v>
      </c>
      <c r="I363" s="173" t="s">
        <v>284</v>
      </c>
      <c r="J363" s="173" t="s">
        <v>1498</v>
      </c>
      <c r="K363" s="241">
        <v>39261</v>
      </c>
      <c r="L363" s="173" t="s">
        <v>916</v>
      </c>
      <c r="M363" s="262"/>
      <c r="N363" s="256"/>
      <c r="O363" s="461">
        <f>CompletedProjects[[#This Row],[Power Plant Size (MW) or Share]]*0.593*9057*211.9*10^(-9)</f>
        <v>0</v>
      </c>
      <c r="P363" s="337">
        <f>CompletedProjects[[#This Row],[Annual Emissions (MMTCO2)]]*40</f>
        <v>0</v>
      </c>
      <c r="Q363" s="167"/>
      <c r="R363" s="167" t="s">
        <v>400</v>
      </c>
      <c r="S363" s="167" t="s">
        <v>633</v>
      </c>
      <c r="T363" s="167"/>
      <c r="U363" s="2"/>
      <c r="V363" s="2"/>
      <c r="Y363" s="2"/>
    </row>
    <row r="364" spans="1:25" ht="114.7">
      <c r="A364" s="167" t="s">
        <v>33</v>
      </c>
      <c r="B364" s="167" t="s">
        <v>414</v>
      </c>
      <c r="C364" s="167" t="s">
        <v>464</v>
      </c>
      <c r="D364" s="172">
        <f>3040000000*'Dev Bank Share by Country'!$C$61</f>
        <v>126160000</v>
      </c>
      <c r="E364" s="173" t="s">
        <v>41</v>
      </c>
      <c r="F364" s="173" t="s">
        <v>432</v>
      </c>
      <c r="G364" s="262" t="s">
        <v>773</v>
      </c>
      <c r="H364" s="173" t="s">
        <v>25</v>
      </c>
      <c r="I364" s="180" t="s">
        <v>283</v>
      </c>
      <c r="J364" s="173" t="s">
        <v>26</v>
      </c>
      <c r="K364" s="241">
        <v>40276</v>
      </c>
      <c r="L364" s="173" t="s">
        <v>923</v>
      </c>
      <c r="M364" s="273"/>
      <c r="N364" s="337">
        <f>4800/19/2</f>
        <v>126.31578947368421</v>
      </c>
      <c r="O364" s="461">
        <f>CompletedProjects[[#This Row],[Power Plant Size (MW) or Share]]*0.593*9057*211.9*10^(-9)</f>
        <v>0.14375655560842107</v>
      </c>
      <c r="P364" s="337">
        <f>CompletedProjects[[#This Row],[Annual Emissions (MMTCO2)]]*40</f>
        <v>5.7502622243368426</v>
      </c>
      <c r="Q364" s="167"/>
      <c r="R364" s="178" t="s">
        <v>643</v>
      </c>
      <c r="S364" s="167" t="s">
        <v>465</v>
      </c>
      <c r="T364" s="178"/>
      <c r="U364" s="2"/>
      <c r="V364" s="2"/>
      <c r="Y364" s="2"/>
    </row>
    <row r="365" spans="1:25" ht="43">
      <c r="A365" s="173" t="s">
        <v>33</v>
      </c>
      <c r="B365" s="173" t="s">
        <v>519</v>
      </c>
      <c r="C365" s="173" t="s">
        <v>464</v>
      </c>
      <c r="D365" s="172">
        <f>135000000*'Dev Bank Share by Country'!$K$61</f>
        <v>3145500</v>
      </c>
      <c r="E365" s="173" t="s">
        <v>531</v>
      </c>
      <c r="F365" s="173" t="s">
        <v>538</v>
      </c>
      <c r="G365" s="262"/>
      <c r="H365" s="173" t="s">
        <v>239</v>
      </c>
      <c r="I365" s="180" t="s">
        <v>283</v>
      </c>
      <c r="J365" s="173" t="s">
        <v>26</v>
      </c>
      <c r="K365" s="241">
        <v>40217</v>
      </c>
      <c r="L365" s="173" t="s">
        <v>539</v>
      </c>
      <c r="M365" s="262"/>
      <c r="N365" s="337">
        <f>250/13</f>
        <v>19.23076923076923</v>
      </c>
      <c r="O365" s="461">
        <f>CompletedProjects[[#This Row],[Power Plant Size (MW) or Share]]*0.593*9057*211.9*10^(-9)</f>
        <v>2.1886014075000002E-2</v>
      </c>
      <c r="P365" s="337">
        <f>CompletedProjects[[#This Row],[Annual Emissions (MMTCO2)]]*40</f>
        <v>0.87544056300000006</v>
      </c>
      <c r="Q365" s="176"/>
      <c r="R365" s="178" t="s">
        <v>540</v>
      </c>
      <c r="S365" s="167"/>
      <c r="T365" s="178"/>
      <c r="U365" s="2"/>
      <c r="V365" s="2"/>
      <c r="Y365" s="2"/>
    </row>
    <row r="366" spans="1:25" ht="43">
      <c r="A366" s="167" t="s">
        <v>33</v>
      </c>
      <c r="B366" s="182" t="s">
        <v>559</v>
      </c>
      <c r="C366" s="182" t="s">
        <v>464</v>
      </c>
      <c r="D366" s="172">
        <v>1711108.4400680675</v>
      </c>
      <c r="E366" s="173" t="s">
        <v>592</v>
      </c>
      <c r="F366" s="173" t="s">
        <v>593</v>
      </c>
      <c r="G366" s="262" t="s">
        <v>795</v>
      </c>
      <c r="H366" s="173" t="s">
        <v>201</v>
      </c>
      <c r="I366" s="173" t="s">
        <v>40</v>
      </c>
      <c r="J366" s="173" t="s">
        <v>40</v>
      </c>
      <c r="K366" s="240">
        <v>39854</v>
      </c>
      <c r="L366" s="183" t="s">
        <v>1689</v>
      </c>
      <c r="M366" s="262"/>
      <c r="N366" s="337"/>
      <c r="O366" s="461">
        <f>CompletedProjects[[#This Row],[Power Plant Size (MW) or Share]]*0.593*9057*211.9*10^(-9)</f>
        <v>0</v>
      </c>
      <c r="P366" s="337">
        <f>CompletedProjects[[#This Row],[Annual Emissions (MMTCO2)]]*40</f>
        <v>0</v>
      </c>
      <c r="Q366" s="176"/>
      <c r="R366" s="173" t="s">
        <v>907</v>
      </c>
      <c r="S366" s="167"/>
      <c r="T366" s="173"/>
      <c r="U366" s="2"/>
      <c r="V366" s="2"/>
      <c r="Y366" s="2"/>
    </row>
    <row r="367" spans="1:25" ht="100.35">
      <c r="A367" s="167" t="s">
        <v>33</v>
      </c>
      <c r="B367" s="167" t="s">
        <v>414</v>
      </c>
      <c r="C367" s="167" t="s">
        <v>464</v>
      </c>
      <c r="D367" s="172">
        <f>379060000*'Dev Bank Share by Country'!$C$61</f>
        <v>15730990</v>
      </c>
      <c r="E367" s="173" t="s">
        <v>429</v>
      </c>
      <c r="F367" s="173" t="s">
        <v>430</v>
      </c>
      <c r="G367" s="262" t="s">
        <v>779</v>
      </c>
      <c r="H367" s="173" t="s">
        <v>431</v>
      </c>
      <c r="I367" s="180" t="s">
        <v>283</v>
      </c>
      <c r="J367" s="173" t="s">
        <v>26</v>
      </c>
      <c r="K367" s="241">
        <v>40115</v>
      </c>
      <c r="L367" s="173" t="s">
        <v>922</v>
      </c>
      <c r="M367" s="262"/>
      <c r="N367" s="337">
        <f>600/19/2</f>
        <v>15.789473684210526</v>
      </c>
      <c r="O367" s="461">
        <f>CompletedProjects[[#This Row],[Power Plant Size (MW) or Share]]*0.593*9057*211.9*10^(-9)</f>
        <v>1.7969569451052634E-2</v>
      </c>
      <c r="P367" s="337">
        <f>CompletedProjects[[#This Row],[Annual Emissions (MMTCO2)]]*40</f>
        <v>0.71878277804210533</v>
      </c>
      <c r="Q367" s="167"/>
      <c r="R367" s="178" t="s">
        <v>640</v>
      </c>
      <c r="S367" s="167" t="s">
        <v>633</v>
      </c>
      <c r="T367" s="178"/>
      <c r="U367" s="2"/>
      <c r="V367" s="2"/>
      <c r="Y367" s="2"/>
    </row>
    <row r="368" spans="1:25" ht="172">
      <c r="A368" s="167" t="s">
        <v>33</v>
      </c>
      <c r="B368" s="167" t="s">
        <v>401</v>
      </c>
      <c r="C368" s="167" t="s">
        <v>464</v>
      </c>
      <c r="D368" s="172">
        <f>12100000*'Dev Bank Share by Country'!$E$61</f>
        <v>458437.7561854801</v>
      </c>
      <c r="E368" s="173" t="s">
        <v>451</v>
      </c>
      <c r="F368" s="173" t="s">
        <v>452</v>
      </c>
      <c r="G368" s="262" t="s">
        <v>793</v>
      </c>
      <c r="H368" s="173" t="s">
        <v>453</v>
      </c>
      <c r="I368" s="173" t="s">
        <v>284</v>
      </c>
      <c r="J368" s="173" t="s">
        <v>1498</v>
      </c>
      <c r="K368" s="241">
        <v>41471</v>
      </c>
      <c r="L368" s="173" t="s">
        <v>926</v>
      </c>
      <c r="M368" s="262" t="s">
        <v>898</v>
      </c>
      <c r="N368" s="256"/>
      <c r="O368" s="461">
        <f>CompletedProjects[[#This Row],[Power Plant Size (MW) or Share]]*0.593*9057*211.9*10^(-9)</f>
        <v>0</v>
      </c>
      <c r="P368" s="337">
        <f>CompletedProjects[[#This Row],[Annual Emissions (MMTCO2)]]*40</f>
        <v>0</v>
      </c>
      <c r="Q368" s="167"/>
      <c r="R368" s="167" t="s">
        <v>400</v>
      </c>
      <c r="S368" s="167" t="s">
        <v>633</v>
      </c>
      <c r="T368" s="167" t="s">
        <v>537</v>
      </c>
      <c r="U368" s="2"/>
      <c r="V368" s="2"/>
      <c r="Y368" s="2"/>
    </row>
    <row r="369" spans="1:25" ht="215">
      <c r="A369" s="167" t="s">
        <v>33</v>
      </c>
      <c r="B369" s="167" t="s">
        <v>445</v>
      </c>
      <c r="C369" s="167" t="s">
        <v>464</v>
      </c>
      <c r="D369" s="172">
        <f>28000000*'Dev Bank Share by Country'!G61</f>
        <v>1320407.3115311281</v>
      </c>
      <c r="E369" s="173" t="s">
        <v>446</v>
      </c>
      <c r="F369" s="173" t="s">
        <v>447</v>
      </c>
      <c r="G369" s="262" t="s">
        <v>782</v>
      </c>
      <c r="H369" s="173" t="s">
        <v>201</v>
      </c>
      <c r="I369" s="173" t="s">
        <v>284</v>
      </c>
      <c r="J369" s="173" t="s">
        <v>1498</v>
      </c>
      <c r="K369" s="241">
        <v>41333</v>
      </c>
      <c r="L369" s="173" t="s">
        <v>832</v>
      </c>
      <c r="M369" s="262"/>
      <c r="N369" s="256">
        <f>750/19</f>
        <v>39.473684210526315</v>
      </c>
      <c r="O369" s="461">
        <f>CompletedProjects[[#This Row],[Power Plant Size (MW) or Share]]*0.593*9057*211.9*10^(-9)</f>
        <v>4.4923923627631576E-2</v>
      </c>
      <c r="P369" s="337">
        <f>CompletedProjects[[#This Row],[Annual Emissions (MMTCO2)]]*40</f>
        <v>1.7969569451052632</v>
      </c>
      <c r="Q369" s="167"/>
      <c r="R369" s="167" t="s">
        <v>639</v>
      </c>
      <c r="S369" s="167"/>
      <c r="T369" s="167"/>
      <c r="U369" s="2"/>
      <c r="V369" s="2"/>
      <c r="Y369" s="2"/>
    </row>
    <row r="370" spans="1:25" ht="86">
      <c r="A370" s="167" t="s">
        <v>33</v>
      </c>
      <c r="B370" s="167" t="s">
        <v>397</v>
      </c>
      <c r="C370" s="167" t="s">
        <v>464</v>
      </c>
      <c r="D370" s="172">
        <f>45500000*'Dev Bank Share by Country'!$G$61</f>
        <v>2145661.8812380834</v>
      </c>
      <c r="E370" s="173" t="s">
        <v>440</v>
      </c>
      <c r="F370" s="173" t="s">
        <v>441</v>
      </c>
      <c r="G370" s="262" t="s">
        <v>771</v>
      </c>
      <c r="H370" s="173" t="s">
        <v>442</v>
      </c>
      <c r="I370" s="173" t="s">
        <v>40</v>
      </c>
      <c r="J370" s="173" t="s">
        <v>443</v>
      </c>
      <c r="K370" s="241">
        <v>41060</v>
      </c>
      <c r="L370" s="173" t="s">
        <v>924</v>
      </c>
      <c r="M370" s="273"/>
      <c r="N370" s="256"/>
      <c r="O370" s="461">
        <f>CompletedProjects[[#This Row],[Power Plant Size (MW) or Share]]*0.593*9057*211.9*10^(-9)</f>
        <v>0</v>
      </c>
      <c r="P370" s="337">
        <f>CompletedProjects[[#This Row],[Annual Emissions (MMTCO2)]]*40</f>
        <v>0</v>
      </c>
      <c r="Q370" s="167"/>
      <c r="R370" s="167" t="s">
        <v>400</v>
      </c>
      <c r="S370" s="167" t="s">
        <v>465</v>
      </c>
      <c r="T370" s="167"/>
      <c r="U370" s="22"/>
      <c r="V370" s="2"/>
      <c r="X370" s="30"/>
      <c r="Y370" s="2"/>
    </row>
    <row r="371" spans="1:25" ht="215">
      <c r="A371" s="167" t="s">
        <v>33</v>
      </c>
      <c r="B371" s="167" t="s">
        <v>401</v>
      </c>
      <c r="C371" s="167" t="s">
        <v>464</v>
      </c>
      <c r="D371" s="172">
        <f>200000000*'Dev Bank Share by Country'!$E$61</f>
        <v>7577483.5733137205</v>
      </c>
      <c r="E371" s="173" t="s">
        <v>461</v>
      </c>
      <c r="F371" s="173" t="s">
        <v>462</v>
      </c>
      <c r="G371" s="262" t="s">
        <v>795</v>
      </c>
      <c r="H371" s="173" t="s">
        <v>442</v>
      </c>
      <c r="I371" s="173" t="s">
        <v>284</v>
      </c>
      <c r="J371" s="173" t="s">
        <v>1498</v>
      </c>
      <c r="K371" s="241">
        <v>41760</v>
      </c>
      <c r="L371" s="173" t="s">
        <v>831</v>
      </c>
      <c r="M371" s="262" t="s">
        <v>830</v>
      </c>
      <c r="N371" s="256"/>
      <c r="O371" s="461">
        <f>CompletedProjects[[#This Row],[Power Plant Size (MW) or Share]]*0.593*9057*211.9*10^(-9)</f>
        <v>0</v>
      </c>
      <c r="P371" s="337">
        <f>CompletedProjects[[#This Row],[Annual Emissions (MMTCO2)]]*40</f>
        <v>0</v>
      </c>
      <c r="Q371" s="167"/>
      <c r="R371" s="167" t="s">
        <v>400</v>
      </c>
      <c r="S371" s="167" t="s">
        <v>465</v>
      </c>
      <c r="T371" s="167"/>
      <c r="U371" s="2"/>
      <c r="V371" s="2"/>
      <c r="Y371" s="2"/>
    </row>
    <row r="372" spans="1:25" ht="114.7">
      <c r="A372" s="167" t="s">
        <v>33</v>
      </c>
      <c r="B372" s="167" t="s">
        <v>401</v>
      </c>
      <c r="C372" s="167" t="s">
        <v>464</v>
      </c>
      <c r="D372" s="172">
        <f>280000*'Dev Bank Share by Country'!$E$61</f>
        <v>10608.477002639209</v>
      </c>
      <c r="E372" s="173" t="s">
        <v>437</v>
      </c>
      <c r="F372" s="173" t="s">
        <v>438</v>
      </c>
      <c r="G372" s="262" t="s">
        <v>790</v>
      </c>
      <c r="H372" s="173" t="s">
        <v>439</v>
      </c>
      <c r="I372" s="173" t="s">
        <v>284</v>
      </c>
      <c r="J372" s="173" t="s">
        <v>1498</v>
      </c>
      <c r="K372" s="241">
        <v>41039</v>
      </c>
      <c r="L372" s="173" t="s">
        <v>897</v>
      </c>
      <c r="M372" s="273" t="s">
        <v>780</v>
      </c>
      <c r="N372" s="256"/>
      <c r="O372" s="461">
        <f>CompletedProjects[[#This Row],[Power Plant Size (MW) or Share]]*0.593*9057*211.9*10^(-9)</f>
        <v>0</v>
      </c>
      <c r="P372" s="337">
        <f>CompletedProjects[[#This Row],[Annual Emissions (MMTCO2)]]*40</f>
        <v>0</v>
      </c>
      <c r="Q372" s="167"/>
      <c r="R372" s="167" t="s">
        <v>400</v>
      </c>
      <c r="S372" s="167" t="s">
        <v>465</v>
      </c>
      <c r="T372" s="167"/>
      <c r="U372" s="2"/>
      <c r="V372" s="2"/>
      <c r="Y372" s="2"/>
    </row>
    <row r="373" spans="1:25" ht="43">
      <c r="A373" s="167" t="s">
        <v>33</v>
      </c>
      <c r="B373" s="171" t="s">
        <v>559</v>
      </c>
      <c r="C373" s="171" t="s">
        <v>464</v>
      </c>
      <c r="D373" s="172">
        <v>3109330.6907461486</v>
      </c>
      <c r="E373" s="173" t="s">
        <v>608</v>
      </c>
      <c r="F373" s="173" t="s">
        <v>609</v>
      </c>
      <c r="G373" s="262" t="s">
        <v>803</v>
      </c>
      <c r="H373" s="173" t="s">
        <v>368</v>
      </c>
      <c r="I373" s="180" t="s">
        <v>284</v>
      </c>
      <c r="J373" s="180" t="s">
        <v>284</v>
      </c>
      <c r="K373" s="240">
        <v>40869</v>
      </c>
      <c r="L373" s="173" t="s">
        <v>1694</v>
      </c>
      <c r="M373" s="262"/>
      <c r="N373" s="337"/>
      <c r="O373" s="461">
        <f>CompletedProjects[[#This Row],[Power Plant Size (MW) or Share]]*0.593*9057*211.9*10^(-9)</f>
        <v>0</v>
      </c>
      <c r="P373" s="337">
        <f>CompletedProjects[[#This Row],[Annual Emissions (MMTCO2)]]*40</f>
        <v>0</v>
      </c>
      <c r="Q373" s="176"/>
      <c r="R373" s="178"/>
      <c r="S373" s="167"/>
      <c r="T373" s="178"/>
      <c r="U373" s="2"/>
      <c r="V373" s="2"/>
      <c r="Y373" s="2"/>
    </row>
    <row r="374" spans="1:25" ht="57.35">
      <c r="A374" s="167" t="s">
        <v>33</v>
      </c>
      <c r="B374" s="182" t="s">
        <v>559</v>
      </c>
      <c r="C374" s="182" t="s">
        <v>464</v>
      </c>
      <c r="D374" s="172">
        <v>2616444.1960649067</v>
      </c>
      <c r="E374" s="173" t="s">
        <v>596</v>
      </c>
      <c r="F374" s="173" t="s">
        <v>597</v>
      </c>
      <c r="G374" s="262" t="s">
        <v>797</v>
      </c>
      <c r="H374" s="173" t="s">
        <v>493</v>
      </c>
      <c r="I374" s="180" t="s">
        <v>283</v>
      </c>
      <c r="J374" s="173" t="s">
        <v>277</v>
      </c>
      <c r="K374" s="240">
        <v>40052</v>
      </c>
      <c r="L374" s="269" t="s">
        <v>1690</v>
      </c>
      <c r="M374" s="262" t="s">
        <v>903</v>
      </c>
      <c r="N374" s="337"/>
      <c r="O374" s="461">
        <f>CompletedProjects[[#This Row],[Power Plant Size (MW) or Share]]*0.593*9057*211.9*10^(-9)</f>
        <v>0</v>
      </c>
      <c r="P374" s="337">
        <f>CompletedProjects[[#This Row],[Annual Emissions (MMTCO2)]]*40</f>
        <v>0</v>
      </c>
      <c r="Q374" s="176"/>
      <c r="R374" s="178"/>
      <c r="S374" s="167"/>
      <c r="T374" s="178"/>
      <c r="U374" s="2"/>
      <c r="V374" s="2"/>
      <c r="Y374" s="2"/>
    </row>
    <row r="375" spans="1:25" ht="172">
      <c r="A375" s="167" t="s">
        <v>33</v>
      </c>
      <c r="B375" s="167" t="s">
        <v>414</v>
      </c>
      <c r="C375" s="167" t="s">
        <v>464</v>
      </c>
      <c r="D375" s="172">
        <f>57000000*'Dev Bank Share by Country'!$C$61</f>
        <v>2365500</v>
      </c>
      <c r="E375" s="173" t="s">
        <v>415</v>
      </c>
      <c r="F375" s="173" t="s">
        <v>416</v>
      </c>
      <c r="G375" s="262" t="s">
        <v>772</v>
      </c>
      <c r="H375" s="173" t="s">
        <v>368</v>
      </c>
      <c r="I375" s="173" t="s">
        <v>40</v>
      </c>
      <c r="J375" s="173" t="s">
        <v>417</v>
      </c>
      <c r="K375" s="241">
        <v>39436</v>
      </c>
      <c r="L375" s="173" t="s">
        <v>918</v>
      </c>
      <c r="M375" s="273" t="s">
        <v>895</v>
      </c>
      <c r="N375" s="256"/>
      <c r="O375" s="461">
        <f>CompletedProjects[[#This Row],[Power Plant Size (MW) or Share]]*0.593*9057*211.9*10^(-9)</f>
        <v>0</v>
      </c>
      <c r="P375" s="337">
        <f>CompletedProjects[[#This Row],[Annual Emissions (MMTCO2)]]*40</f>
        <v>0</v>
      </c>
      <c r="Q375" s="167"/>
      <c r="R375" s="167" t="s">
        <v>400</v>
      </c>
      <c r="S375" s="167" t="s">
        <v>633</v>
      </c>
      <c r="T375" s="167"/>
      <c r="U375" s="2"/>
      <c r="V375" s="2"/>
      <c r="Y375" s="2"/>
    </row>
    <row r="376" spans="1:25" ht="172">
      <c r="A376" s="167" t="s">
        <v>75</v>
      </c>
      <c r="B376" s="167" t="s">
        <v>511</v>
      </c>
      <c r="C376" s="167" t="s">
        <v>464</v>
      </c>
      <c r="D376" s="172">
        <f>500000000*'Dev Bank Share by Country'!$G$65</f>
        <v>25116583.203211918</v>
      </c>
      <c r="E376" s="173" t="s">
        <v>454</v>
      </c>
      <c r="F376" s="173" t="s">
        <v>514</v>
      </c>
      <c r="G376" s="262" t="s">
        <v>783</v>
      </c>
      <c r="H376" s="183" t="s">
        <v>515</v>
      </c>
      <c r="I376" s="180" t="s">
        <v>283</v>
      </c>
      <c r="J376" s="173" t="s">
        <v>26</v>
      </c>
      <c r="K376" s="241">
        <v>41760</v>
      </c>
      <c r="L376" s="173" t="s">
        <v>833</v>
      </c>
      <c r="M376" s="262"/>
      <c r="N376" s="256">
        <f>(270+450)/19</f>
        <v>37.89473684210526</v>
      </c>
      <c r="O376" s="461">
        <f>CompletedProjects[[#This Row],[Power Plant Size (MW) or Share]]*0.593*9057*211.9*10^(-9)</f>
        <v>4.3126966682526316E-2</v>
      </c>
      <c r="P376" s="337">
        <f>CompletedProjects[[#This Row],[Annual Emissions (MMTCO2)]]*40</f>
        <v>1.7250786673010525</v>
      </c>
      <c r="Q376" s="167"/>
      <c r="R376" s="167" t="s">
        <v>639</v>
      </c>
      <c r="S376" s="167" t="s">
        <v>465</v>
      </c>
      <c r="T376" s="167"/>
      <c r="U376" s="2"/>
      <c r="V376" s="2"/>
      <c r="Y376" s="2"/>
    </row>
    <row r="377" spans="1:25" ht="172">
      <c r="A377" s="167" t="s">
        <v>75</v>
      </c>
      <c r="B377" s="167" t="s">
        <v>401</v>
      </c>
      <c r="C377" s="167" t="s">
        <v>464</v>
      </c>
      <c r="D377" s="172">
        <f>1120000*'Dev Bank Share by Country'!$E$65</f>
        <v>61336.898922620327</v>
      </c>
      <c r="E377" s="173" t="s">
        <v>402</v>
      </c>
      <c r="F377" s="173" t="s">
        <v>403</v>
      </c>
      <c r="G377" s="262" t="s">
        <v>785</v>
      </c>
      <c r="H377" s="173" t="s">
        <v>404</v>
      </c>
      <c r="I377" s="173" t="s">
        <v>284</v>
      </c>
      <c r="J377" s="173" t="s">
        <v>1498</v>
      </c>
      <c r="K377" s="241">
        <v>39224</v>
      </c>
      <c r="L377" s="173" t="s">
        <v>826</v>
      </c>
      <c r="M377" s="262" t="s">
        <v>785</v>
      </c>
      <c r="N377" s="256"/>
      <c r="O377" s="461">
        <f>CompletedProjects[[#This Row],[Power Plant Size (MW) or Share]]*0.593*9057*211.9*10^(-9)</f>
        <v>0</v>
      </c>
      <c r="P377" s="337">
        <f>CompletedProjects[[#This Row],[Annual Emissions (MMTCO2)]]*40</f>
        <v>0</v>
      </c>
      <c r="Q377" s="167"/>
      <c r="R377" s="167" t="s">
        <v>400</v>
      </c>
      <c r="S377" s="167" t="s">
        <v>633</v>
      </c>
      <c r="T377" s="167" t="s">
        <v>537</v>
      </c>
      <c r="U377" s="2"/>
      <c r="V377" s="2"/>
      <c r="Y377" s="2"/>
    </row>
    <row r="378" spans="1:25" ht="172">
      <c r="A378" s="167" t="s">
        <v>75</v>
      </c>
      <c r="B378" s="167" t="s">
        <v>512</v>
      </c>
      <c r="C378" s="167" t="s">
        <v>464</v>
      </c>
      <c r="D378" s="172">
        <f>4200000*'Dev Bank Share by Country'!$E$65</f>
        <v>230013.37095982622</v>
      </c>
      <c r="E378" s="173" t="s">
        <v>448</v>
      </c>
      <c r="F378" s="173" t="s">
        <v>449</v>
      </c>
      <c r="G378" s="262" t="s">
        <v>792</v>
      </c>
      <c r="H378" s="173" t="s">
        <v>450</v>
      </c>
      <c r="I378" s="173" t="s">
        <v>40</v>
      </c>
      <c r="J378" s="173" t="s">
        <v>1502</v>
      </c>
      <c r="K378" s="241">
        <v>41404</v>
      </c>
      <c r="L378" s="173" t="s">
        <v>925</v>
      </c>
      <c r="M378" s="262"/>
      <c r="N378" s="256"/>
      <c r="O378" s="461">
        <f>CompletedProjects[[#This Row],[Power Plant Size (MW) or Share]]*0.593*9057*211.9*10^(-9)</f>
        <v>0</v>
      </c>
      <c r="P378" s="337">
        <f>CompletedProjects[[#This Row],[Annual Emissions (MMTCO2)]]*40</f>
        <v>0</v>
      </c>
      <c r="Q378" s="167"/>
      <c r="R378" s="167" t="s">
        <v>400</v>
      </c>
      <c r="S378" s="167" t="s">
        <v>465</v>
      </c>
      <c r="T378" s="167"/>
      <c r="U378" s="2"/>
      <c r="V378" s="2"/>
      <c r="Y378" s="2"/>
    </row>
    <row r="379" spans="1:25" ht="157.69999999999999">
      <c r="A379" s="167" t="s">
        <v>75</v>
      </c>
      <c r="B379" s="167" t="s">
        <v>513</v>
      </c>
      <c r="C379" s="167" t="s">
        <v>464</v>
      </c>
      <c r="D379" s="172">
        <f>180000000*'Dev Bank Share by Country'!$C$65</f>
        <v>8316000</v>
      </c>
      <c r="E379" s="173" t="s">
        <v>425</v>
      </c>
      <c r="F379" s="173" t="s">
        <v>426</v>
      </c>
      <c r="G379" s="262" t="s">
        <v>770</v>
      </c>
      <c r="H379" s="173" t="s">
        <v>65</v>
      </c>
      <c r="I379" s="180" t="s">
        <v>283</v>
      </c>
      <c r="J379" s="173" t="s">
        <v>277</v>
      </c>
      <c r="K379" s="241">
        <v>39982</v>
      </c>
      <c r="L379" s="173" t="s">
        <v>921</v>
      </c>
      <c r="M379" s="273"/>
      <c r="N379" s="256">
        <f>420/19</f>
        <v>22.105263157894736</v>
      </c>
      <c r="O379" s="461">
        <f>CompletedProjects[[#This Row],[Power Plant Size (MW) or Share]]*0.593*9057*211.9*10^(-9)</f>
        <v>2.5157397231473682E-2</v>
      </c>
      <c r="P379" s="337">
        <f>CompletedProjects[[#This Row],[Annual Emissions (MMTCO2)]]*40</f>
        <v>1.0062958892589473</v>
      </c>
      <c r="Q379" s="167"/>
      <c r="R379" s="167" t="s">
        <v>638</v>
      </c>
      <c r="S379" s="167" t="s">
        <v>466</v>
      </c>
      <c r="T379" s="167"/>
      <c r="U379" s="2"/>
      <c r="V379" s="2"/>
      <c r="Y379" s="2"/>
    </row>
    <row r="380" spans="1:25" ht="100.35">
      <c r="A380" s="167" t="s">
        <v>75</v>
      </c>
      <c r="B380" s="167" t="s">
        <v>511</v>
      </c>
      <c r="C380" s="167" t="s">
        <v>464</v>
      </c>
      <c r="D380" s="172">
        <v>1340000</v>
      </c>
      <c r="E380" s="173" t="s">
        <v>398</v>
      </c>
      <c r="F380" s="173" t="s">
        <v>398</v>
      </c>
      <c r="G380" s="262" t="s">
        <v>787</v>
      </c>
      <c r="H380" s="173" t="s">
        <v>399</v>
      </c>
      <c r="I380" s="180" t="s">
        <v>283</v>
      </c>
      <c r="J380" s="173" t="s">
        <v>26</v>
      </c>
      <c r="K380" s="241">
        <v>39204</v>
      </c>
      <c r="L380" s="173" t="s">
        <v>915</v>
      </c>
      <c r="M380" s="262"/>
      <c r="N380" s="256">
        <f>30/20</f>
        <v>1.5</v>
      </c>
      <c r="O380" s="461">
        <f>CompletedProjects[[#This Row],[Power Plant Size (MW) or Share]]*0.593*9057*211.9*10^(-9)</f>
        <v>1.7071090978499999E-3</v>
      </c>
      <c r="P380" s="337">
        <f>CompletedProjects[[#This Row],[Annual Emissions (MMTCO2)]]*40</f>
        <v>6.8284363914000001E-2</v>
      </c>
      <c r="Q380" s="167"/>
      <c r="R380" s="167" t="s">
        <v>635</v>
      </c>
      <c r="S380" s="167" t="s">
        <v>465</v>
      </c>
      <c r="T380" s="167"/>
      <c r="U380" s="2"/>
      <c r="V380" s="2"/>
      <c r="Y380" s="2"/>
    </row>
    <row r="381" spans="1:25" ht="57.35">
      <c r="A381" s="181" t="s">
        <v>75</v>
      </c>
      <c r="B381" s="171" t="s">
        <v>559</v>
      </c>
      <c r="C381" s="171" t="s">
        <v>464</v>
      </c>
      <c r="D381" s="172">
        <v>10383738.360748647</v>
      </c>
      <c r="E381" s="173" t="s">
        <v>592</v>
      </c>
      <c r="F381" s="173" t="s">
        <v>599</v>
      </c>
      <c r="G381" s="262" t="s">
        <v>799</v>
      </c>
      <c r="H381" s="173" t="s">
        <v>201</v>
      </c>
      <c r="I381" s="173" t="s">
        <v>40</v>
      </c>
      <c r="J381" s="173" t="s">
        <v>40</v>
      </c>
      <c r="K381" s="240">
        <v>40310</v>
      </c>
      <c r="L381" s="173" t="s">
        <v>1692</v>
      </c>
      <c r="M381" s="262" t="s">
        <v>908</v>
      </c>
      <c r="N381" s="337"/>
      <c r="O381" s="461">
        <f>CompletedProjects[[#This Row],[Power Plant Size (MW) or Share]]*0.593*9057*211.9*10^(-9)</f>
        <v>0</v>
      </c>
      <c r="P381" s="337">
        <f>CompletedProjects[[#This Row],[Annual Emissions (MMTCO2)]]*40</f>
        <v>0</v>
      </c>
      <c r="Q381" s="176">
        <v>0.3</v>
      </c>
      <c r="R381" s="178"/>
      <c r="S381" s="167"/>
      <c r="T381" s="178"/>
      <c r="U381" s="2"/>
      <c r="V381" s="2"/>
      <c r="Y381" s="2"/>
    </row>
    <row r="382" spans="1:25" ht="57.35">
      <c r="A382" s="167" t="s">
        <v>75</v>
      </c>
      <c r="B382" s="186" t="s">
        <v>519</v>
      </c>
      <c r="C382" s="186" t="s">
        <v>464</v>
      </c>
      <c r="D382" s="172">
        <f>500000*'Dev Bank Share by Country'!$K$65</f>
        <v>21655</v>
      </c>
      <c r="E382" s="173" t="s">
        <v>531</v>
      </c>
      <c r="F382" s="173" t="s">
        <v>532</v>
      </c>
      <c r="G382" s="262"/>
      <c r="H382" s="173" t="s">
        <v>239</v>
      </c>
      <c r="I382" s="180" t="s">
        <v>283</v>
      </c>
      <c r="J382" s="173" t="s">
        <v>26</v>
      </c>
      <c r="K382" s="241">
        <v>40035</v>
      </c>
      <c r="L382" s="178" t="s">
        <v>1322</v>
      </c>
      <c r="M382" s="262"/>
      <c r="N382" s="337">
        <f>600/13</f>
        <v>46.153846153846153</v>
      </c>
      <c r="O382" s="461">
        <f>CompletedProjects[[#This Row],[Power Plant Size (MW) or Share]]*0.593*9057*211.9*10^(-9)</f>
        <v>5.2526433780000006E-2</v>
      </c>
      <c r="P382" s="337">
        <f>CompletedProjects[[#This Row],[Annual Emissions (MMTCO2)]]*40</f>
        <v>2.1010573512000001</v>
      </c>
      <c r="Q382" s="176"/>
      <c r="R382" s="178" t="s">
        <v>524</v>
      </c>
      <c r="S382" s="167"/>
      <c r="T382" s="178"/>
      <c r="U382" s="2"/>
      <c r="V382" s="2"/>
      <c r="Y382" s="2"/>
    </row>
    <row r="383" spans="1:25" ht="28.7">
      <c r="A383" s="167" t="s">
        <v>75</v>
      </c>
      <c r="B383" s="171" t="s">
        <v>34</v>
      </c>
      <c r="C383" s="171" t="s">
        <v>336</v>
      </c>
      <c r="D383" s="321">
        <f>5000000/0.937</f>
        <v>5336179.2956243325</v>
      </c>
      <c r="E383" s="171" t="s">
        <v>35</v>
      </c>
      <c r="F383" s="173" t="s">
        <v>369</v>
      </c>
      <c r="G383" s="262"/>
      <c r="H383" s="173" t="s">
        <v>370</v>
      </c>
      <c r="I383" s="173" t="s">
        <v>40</v>
      </c>
      <c r="J383" s="173" t="s">
        <v>40</v>
      </c>
      <c r="K383" s="240">
        <v>42005</v>
      </c>
      <c r="L383" s="173" t="s">
        <v>864</v>
      </c>
      <c r="M383" s="262"/>
      <c r="N383" s="337"/>
      <c r="O383" s="461">
        <f>CompletedProjects[[#This Row],[Power Plant Size (MW) or Share]]*0.593*9057*211.9*10^(-9)</f>
        <v>0</v>
      </c>
      <c r="P383" s="337">
        <f>CompletedProjects[[#This Row],[Annual Emissions (MMTCO2)]]*40</f>
        <v>0</v>
      </c>
      <c r="Q383" s="176"/>
      <c r="R383" s="178"/>
      <c r="S383" s="167"/>
      <c r="T383" s="178"/>
      <c r="U383" s="2"/>
      <c r="V383" s="2"/>
      <c r="Y383" s="2"/>
    </row>
    <row r="384" spans="1:25" ht="28.7">
      <c r="A384" s="167" t="s">
        <v>75</v>
      </c>
      <c r="B384" s="171" t="s">
        <v>34</v>
      </c>
      <c r="C384" s="171" t="s">
        <v>336</v>
      </c>
      <c r="D384" s="321">
        <f>7000000/0.937</f>
        <v>7470651.0138740661</v>
      </c>
      <c r="E384" s="171" t="s">
        <v>35</v>
      </c>
      <c r="F384" s="173" t="s">
        <v>630</v>
      </c>
      <c r="G384" s="262"/>
      <c r="H384" s="173" t="s">
        <v>45</v>
      </c>
      <c r="I384" s="173" t="s">
        <v>40</v>
      </c>
      <c r="J384" s="173" t="s">
        <v>40</v>
      </c>
      <c r="K384" s="240">
        <v>42005</v>
      </c>
      <c r="L384" s="173" t="s">
        <v>631</v>
      </c>
      <c r="M384" s="262"/>
      <c r="N384" s="337"/>
      <c r="O384" s="461">
        <f>CompletedProjects[[#This Row],[Power Plant Size (MW) or Share]]*0.593*9057*211.9*10^(-9)</f>
        <v>0</v>
      </c>
      <c r="P384" s="337">
        <f>CompletedProjects[[#This Row],[Annual Emissions (MMTCO2)]]*40</f>
        <v>0</v>
      </c>
      <c r="Q384" s="176"/>
      <c r="R384" s="178"/>
      <c r="S384" s="167"/>
      <c r="T384" s="178"/>
      <c r="U384" s="2"/>
      <c r="V384" s="2"/>
      <c r="Y384" s="2"/>
    </row>
    <row r="385" spans="1:25" ht="28.7">
      <c r="A385" s="167" t="s">
        <v>75</v>
      </c>
      <c r="B385" s="171" t="s">
        <v>34</v>
      </c>
      <c r="C385" s="171" t="s">
        <v>336</v>
      </c>
      <c r="D385" s="321">
        <f>14000000/0.937</f>
        <v>14941302.027748132</v>
      </c>
      <c r="E385" s="171" t="s">
        <v>35</v>
      </c>
      <c r="F385" s="173" t="s">
        <v>629</v>
      </c>
      <c r="G385" s="262"/>
      <c r="H385" s="173" t="s">
        <v>368</v>
      </c>
      <c r="I385" s="173" t="s">
        <v>40</v>
      </c>
      <c r="J385" s="173" t="s">
        <v>40</v>
      </c>
      <c r="K385" s="240">
        <v>42005</v>
      </c>
      <c r="L385" s="173" t="s">
        <v>864</v>
      </c>
      <c r="M385" s="262"/>
      <c r="N385" s="337"/>
      <c r="O385" s="461">
        <f>CompletedProjects[[#This Row],[Power Plant Size (MW) or Share]]*0.593*9057*211.9*10^(-9)</f>
        <v>0</v>
      </c>
      <c r="P385" s="337">
        <f>CompletedProjects[[#This Row],[Annual Emissions (MMTCO2)]]*40</f>
        <v>0</v>
      </c>
      <c r="Q385" s="176"/>
      <c r="R385" s="178"/>
      <c r="S385" s="167"/>
      <c r="T385" s="178"/>
      <c r="U385" s="2"/>
      <c r="V385" s="2"/>
      <c r="Y385" s="2"/>
    </row>
    <row r="386" spans="1:25" ht="114.7">
      <c r="A386" s="181" t="s">
        <v>75</v>
      </c>
      <c r="B386" s="182" t="s">
        <v>559</v>
      </c>
      <c r="C386" s="182" t="s">
        <v>464</v>
      </c>
      <c r="D386" s="172">
        <v>9876155.556977395</v>
      </c>
      <c r="E386" s="173" t="s">
        <v>606</v>
      </c>
      <c r="F386" s="173" t="s">
        <v>607</v>
      </c>
      <c r="G386" s="262" t="s">
        <v>730</v>
      </c>
      <c r="H386" s="173" t="s">
        <v>56</v>
      </c>
      <c r="I386" s="173" t="s">
        <v>40</v>
      </c>
      <c r="J386" s="173" t="s">
        <v>40</v>
      </c>
      <c r="K386" s="240">
        <v>40750</v>
      </c>
      <c r="L386" s="173" t="s">
        <v>1696</v>
      </c>
      <c r="M386" s="262" t="s">
        <v>912</v>
      </c>
      <c r="N386" s="337"/>
      <c r="O386" s="461">
        <f>CompletedProjects[[#This Row],[Power Plant Size (MW) or Share]]*0.593*9057*211.9*10^(-9)</f>
        <v>0</v>
      </c>
      <c r="P386" s="337">
        <f>CompletedProjects[[#This Row],[Annual Emissions (MMTCO2)]]*40</f>
        <v>0</v>
      </c>
      <c r="Q386" s="176"/>
      <c r="R386" s="178"/>
      <c r="S386" s="167"/>
      <c r="T386" s="178"/>
      <c r="U386" s="2"/>
      <c r="V386" s="2"/>
      <c r="Y386" s="2"/>
    </row>
    <row r="387" spans="1:25" ht="229.35">
      <c r="A387" s="167" t="s">
        <v>75</v>
      </c>
      <c r="B387" s="167" t="s">
        <v>513</v>
      </c>
      <c r="C387" s="167" t="s">
        <v>464</v>
      </c>
      <c r="D387" s="172">
        <f>1000000000*'Dev Bank Share by Country'!$C$65</f>
        <v>46200000</v>
      </c>
      <c r="E387" s="173" t="s">
        <v>425</v>
      </c>
      <c r="F387" s="173" t="s">
        <v>427</v>
      </c>
      <c r="G387" s="262" t="s">
        <v>778</v>
      </c>
      <c r="H387" s="173" t="s">
        <v>65</v>
      </c>
      <c r="I387" s="173" t="s">
        <v>1507</v>
      </c>
      <c r="J387" s="173" t="s">
        <v>428</v>
      </c>
      <c r="K387" s="241">
        <v>40078</v>
      </c>
      <c r="L387" s="173" t="s">
        <v>824</v>
      </c>
      <c r="M387" s="262"/>
      <c r="N387" s="256"/>
      <c r="O387" s="461">
        <f>CompletedProjects[[#This Row],[Power Plant Size (MW) or Share]]*0.593*9057*211.9*10^(-9)</f>
        <v>0</v>
      </c>
      <c r="P387" s="337">
        <f>CompletedProjects[[#This Row],[Annual Emissions (MMTCO2)]]*40</f>
        <v>0</v>
      </c>
      <c r="Q387" s="167"/>
      <c r="R387" s="167" t="s">
        <v>400</v>
      </c>
      <c r="S387" s="167" t="s">
        <v>465</v>
      </c>
      <c r="T387" s="167"/>
      <c r="U387" s="2"/>
      <c r="V387" s="2"/>
      <c r="Y387" s="2"/>
    </row>
    <row r="388" spans="1:25" ht="114.7">
      <c r="A388" s="167" t="s">
        <v>75</v>
      </c>
      <c r="B388" s="171" t="s">
        <v>209</v>
      </c>
      <c r="C388" s="171" t="s">
        <v>337</v>
      </c>
      <c r="D388" s="172">
        <v>102093172.61862525</v>
      </c>
      <c r="E388" s="173" t="s">
        <v>35</v>
      </c>
      <c r="F388" s="173" t="s">
        <v>35</v>
      </c>
      <c r="G388" s="262"/>
      <c r="H388" s="173" t="s">
        <v>35</v>
      </c>
      <c r="I388" s="173" t="s">
        <v>284</v>
      </c>
      <c r="J388" s="173" t="s">
        <v>1501</v>
      </c>
      <c r="K388" s="241">
        <v>39083</v>
      </c>
      <c r="L388" s="173" t="s">
        <v>880</v>
      </c>
      <c r="M388" s="262" t="s">
        <v>879</v>
      </c>
      <c r="N388" s="337"/>
      <c r="O388" s="461">
        <f>CompletedProjects[[#This Row],[Power Plant Size (MW) or Share]]*0.593*9057*211.9*10^(-9)</f>
        <v>0</v>
      </c>
      <c r="P388" s="337">
        <f>CompletedProjects[[#This Row],[Annual Emissions (MMTCO2)]]*40</f>
        <v>0</v>
      </c>
      <c r="Q388" s="176"/>
      <c r="R388" s="178"/>
      <c r="S388" s="167"/>
      <c r="T388" s="178"/>
      <c r="U388" s="2"/>
      <c r="V388" s="2"/>
      <c r="Y388" s="2"/>
    </row>
    <row r="389" spans="1:25" ht="28.7">
      <c r="A389" s="167" t="s">
        <v>75</v>
      </c>
      <c r="B389" s="192" t="s">
        <v>34</v>
      </c>
      <c r="C389" s="171" t="s">
        <v>336</v>
      </c>
      <c r="D389" s="172">
        <v>88900000</v>
      </c>
      <c r="E389" s="173" t="s">
        <v>35</v>
      </c>
      <c r="F389" s="173" t="s">
        <v>35</v>
      </c>
      <c r="G389" s="262"/>
      <c r="H389" s="173" t="s">
        <v>35</v>
      </c>
      <c r="I389" s="173" t="s">
        <v>40</v>
      </c>
      <c r="J389" s="173" t="s">
        <v>40</v>
      </c>
      <c r="K389" s="241">
        <v>39083</v>
      </c>
      <c r="L389" s="173" t="s">
        <v>12</v>
      </c>
      <c r="M389" s="262"/>
      <c r="N389" s="337"/>
      <c r="O389" s="461">
        <f>CompletedProjects[[#This Row],[Power Plant Size (MW) or Share]]*0.593*9057*211.9*10^(-9)</f>
        <v>0</v>
      </c>
      <c r="P389" s="337">
        <f>CompletedProjects[[#This Row],[Annual Emissions (MMTCO2)]]*40</f>
        <v>0</v>
      </c>
      <c r="Q389" s="176"/>
      <c r="R389" s="206"/>
      <c r="S389" s="167"/>
      <c r="T389" s="206"/>
      <c r="U389" s="2"/>
      <c r="V389" s="2"/>
      <c r="Y389" s="2"/>
    </row>
    <row r="390" spans="1:25" ht="43">
      <c r="A390" s="167" t="s">
        <v>75</v>
      </c>
      <c r="B390" s="192" t="s">
        <v>34</v>
      </c>
      <c r="C390" s="171" t="s">
        <v>336</v>
      </c>
      <c r="D390" s="172">
        <v>9100000</v>
      </c>
      <c r="E390" s="173" t="s">
        <v>35</v>
      </c>
      <c r="F390" s="173" t="s">
        <v>204</v>
      </c>
      <c r="G390" s="262" t="s">
        <v>704</v>
      </c>
      <c r="H390" s="173" t="s">
        <v>36</v>
      </c>
      <c r="I390" s="180" t="s">
        <v>283</v>
      </c>
      <c r="J390" s="173" t="s">
        <v>26</v>
      </c>
      <c r="K390" s="241">
        <v>39083</v>
      </c>
      <c r="L390" s="206" t="s">
        <v>12</v>
      </c>
      <c r="M390" s="262" t="s">
        <v>291</v>
      </c>
      <c r="N390" s="337">
        <v>53.3</v>
      </c>
      <c r="O390" s="461">
        <f>CompletedProjects[[#This Row],[Power Plant Size (MW) or Share]]*0.593*9057*211.9*10^(-9)</f>
        <v>6.0659276610270006E-2</v>
      </c>
      <c r="P390" s="337">
        <f>CompletedProjects[[#This Row],[Annual Emissions (MMTCO2)]]*40</f>
        <v>2.4263710644108003</v>
      </c>
      <c r="Q390" s="176"/>
      <c r="R390" s="206" t="s">
        <v>350</v>
      </c>
      <c r="S390" s="167"/>
      <c r="T390" s="206"/>
      <c r="U390" s="2"/>
      <c r="V390" s="2"/>
      <c r="Y390" s="2"/>
    </row>
    <row r="391" spans="1:25" ht="43">
      <c r="A391" s="167" t="s">
        <v>75</v>
      </c>
      <c r="B391" s="171" t="s">
        <v>1344</v>
      </c>
      <c r="C391" s="171" t="s">
        <v>337</v>
      </c>
      <c r="D391" s="172">
        <v>21795162.523480002</v>
      </c>
      <c r="E391" s="173" t="s">
        <v>215</v>
      </c>
      <c r="F391" s="173" t="s">
        <v>216</v>
      </c>
      <c r="G391" s="263" t="s">
        <v>726</v>
      </c>
      <c r="H391" s="173" t="s">
        <v>217</v>
      </c>
      <c r="I391" s="173" t="s">
        <v>40</v>
      </c>
      <c r="J391" s="173" t="s">
        <v>40</v>
      </c>
      <c r="K391" s="241">
        <v>39135</v>
      </c>
      <c r="L391" s="173" t="s">
        <v>878</v>
      </c>
      <c r="M391" s="262" t="s">
        <v>877</v>
      </c>
      <c r="N391" s="337"/>
      <c r="O391" s="461">
        <f>CompletedProjects[[#This Row],[Power Plant Size (MW) or Share]]*0.593*9057*211.9*10^(-9)</f>
        <v>0</v>
      </c>
      <c r="P391" s="337">
        <f>CompletedProjects[[#This Row],[Annual Emissions (MMTCO2)]]*40</f>
        <v>0</v>
      </c>
      <c r="Q391" s="176">
        <v>33</v>
      </c>
      <c r="R391" s="178"/>
      <c r="S391" s="167"/>
      <c r="T391" s="178"/>
      <c r="U391" s="2"/>
      <c r="V391" s="2"/>
      <c r="Y391" s="2"/>
    </row>
    <row r="392" spans="1:25" ht="28.7">
      <c r="A392" s="167" t="s">
        <v>75</v>
      </c>
      <c r="B392" s="171" t="s">
        <v>212</v>
      </c>
      <c r="C392" s="171" t="s">
        <v>337</v>
      </c>
      <c r="D392" s="172"/>
      <c r="E392" s="173" t="s">
        <v>213</v>
      </c>
      <c r="F392" s="173" t="s">
        <v>214</v>
      </c>
      <c r="G392" s="262"/>
      <c r="H392" s="173" t="s">
        <v>75</v>
      </c>
      <c r="I392" s="180" t="s">
        <v>283</v>
      </c>
      <c r="J392" s="173" t="s">
        <v>26</v>
      </c>
      <c r="K392" s="241">
        <v>39156</v>
      </c>
      <c r="L392" s="173"/>
      <c r="M392" s="262"/>
      <c r="N392" s="337"/>
      <c r="O392" s="461">
        <f>CompletedProjects[[#This Row],[Power Plant Size (MW) or Share]]*0.593*9057*211.9*10^(-9)</f>
        <v>0</v>
      </c>
      <c r="P392" s="337">
        <f>CompletedProjects[[#This Row],[Annual Emissions (MMTCO2)]]*40</f>
        <v>0</v>
      </c>
      <c r="Q392" s="176"/>
      <c r="R392" s="178"/>
      <c r="S392" s="167"/>
      <c r="T392" s="178"/>
      <c r="U392" s="2"/>
      <c r="V392" s="2"/>
      <c r="Y392" s="2"/>
    </row>
    <row r="393" spans="1:25" ht="43">
      <c r="A393" s="167" t="s">
        <v>75</v>
      </c>
      <c r="B393" s="167" t="s">
        <v>511</v>
      </c>
      <c r="C393" s="167" t="s">
        <v>464</v>
      </c>
      <c r="D393" s="172">
        <f>740000000*'Dev Bank Share by Country'!$G$65</f>
        <v>37172543.140753634</v>
      </c>
      <c r="E393" s="173" t="s">
        <v>418</v>
      </c>
      <c r="F393" s="173" t="s">
        <v>419</v>
      </c>
      <c r="G393" s="262" t="s">
        <v>765</v>
      </c>
      <c r="H393" s="173" t="s">
        <v>144</v>
      </c>
      <c r="I393" s="180" t="s">
        <v>283</v>
      </c>
      <c r="J393" s="173" t="s">
        <v>26</v>
      </c>
      <c r="K393" s="241">
        <v>39520</v>
      </c>
      <c r="L393" s="202" t="s">
        <v>817</v>
      </c>
      <c r="M393" s="451"/>
      <c r="N393" s="256">
        <f>330/19</f>
        <v>17.368421052631579</v>
      </c>
      <c r="O393" s="461">
        <f>CompletedProjects[[#This Row],[Power Plant Size (MW) or Share]]*0.593*9057*211.9*10^(-9)</f>
        <v>1.9766526396157894E-2</v>
      </c>
      <c r="P393" s="337">
        <f>CompletedProjects[[#This Row],[Annual Emissions (MMTCO2)]]*40</f>
        <v>0.79066105584631574</v>
      </c>
      <c r="Q393" s="167"/>
      <c r="R393" s="167" t="s">
        <v>400</v>
      </c>
      <c r="S393" s="167" t="s">
        <v>633</v>
      </c>
      <c r="T393" s="167"/>
      <c r="U393" s="2"/>
      <c r="V393" s="2"/>
      <c r="Y393" s="2"/>
    </row>
    <row r="394" spans="1:25" ht="28.7">
      <c r="A394" s="167" t="s">
        <v>75</v>
      </c>
      <c r="B394" s="171" t="s">
        <v>209</v>
      </c>
      <c r="C394" s="171" t="s">
        <v>337</v>
      </c>
      <c r="D394" s="172">
        <v>13594560</v>
      </c>
      <c r="E394" s="173" t="s">
        <v>210</v>
      </c>
      <c r="F394" s="173" t="s">
        <v>211</v>
      </c>
      <c r="G394" s="263" t="s">
        <v>725</v>
      </c>
      <c r="H394" s="173" t="s">
        <v>65</v>
      </c>
      <c r="I394" s="180" t="s">
        <v>283</v>
      </c>
      <c r="J394" s="173" t="s">
        <v>26</v>
      </c>
      <c r="K394" s="241">
        <v>39238</v>
      </c>
      <c r="L394" s="173"/>
      <c r="M394" s="262" t="s">
        <v>1325</v>
      </c>
      <c r="N394" s="337">
        <v>600</v>
      </c>
      <c r="O394" s="461">
        <f>CompletedProjects[[#This Row],[Power Plant Size (MW) or Share]]*0.593*9057*211.9*10^(-9)</f>
        <v>0.68284363914000001</v>
      </c>
      <c r="P394" s="337">
        <f>CompletedProjects[[#This Row],[Annual Emissions (MMTCO2)]]*40</f>
        <v>27.313745565600001</v>
      </c>
      <c r="Q394" s="176"/>
      <c r="R394" s="178"/>
      <c r="S394" s="167"/>
      <c r="T394" s="178"/>
      <c r="U394" s="2"/>
      <c r="V394" s="2"/>
      <c r="Y394" s="2"/>
    </row>
    <row r="395" spans="1:25" ht="43">
      <c r="A395" s="167" t="s">
        <v>75</v>
      </c>
      <c r="B395" s="167" t="s">
        <v>477</v>
      </c>
      <c r="C395" s="167" t="s">
        <v>464</v>
      </c>
      <c r="D395" s="172">
        <f>505000000*0.161</f>
        <v>81305000</v>
      </c>
      <c r="E395" s="173" t="s">
        <v>482</v>
      </c>
      <c r="F395" s="173" t="s">
        <v>483</v>
      </c>
      <c r="G395" s="262" t="s">
        <v>935</v>
      </c>
      <c r="H395" s="173" t="s">
        <v>75</v>
      </c>
      <c r="I395" s="180" t="s">
        <v>283</v>
      </c>
      <c r="J395" s="173" t="s">
        <v>26</v>
      </c>
      <c r="K395" s="241">
        <v>39391</v>
      </c>
      <c r="L395" s="173" t="s">
        <v>1668</v>
      </c>
      <c r="M395" s="262"/>
      <c r="N395" s="150">
        <f>750/4</f>
        <v>187.5</v>
      </c>
      <c r="O395" s="461">
        <f>CompletedProjects[[#This Row],[Power Plant Size (MW) or Share]]*0.593*9057*211.9*10^(-9)</f>
        <v>0.21338863723125004</v>
      </c>
      <c r="P395" s="337">
        <f>CompletedProjects[[#This Row],[Annual Emissions (MMTCO2)]]*40</f>
        <v>8.5355454892500013</v>
      </c>
      <c r="Q395" s="203"/>
      <c r="R395" s="167" t="s">
        <v>484</v>
      </c>
      <c r="S395" s="167"/>
      <c r="T395" s="167"/>
      <c r="U395" s="2"/>
      <c r="V395" s="2"/>
      <c r="Y395" s="2"/>
    </row>
    <row r="396" spans="1:25" ht="57.35">
      <c r="A396" s="167" t="s">
        <v>75</v>
      </c>
      <c r="B396" s="167" t="s">
        <v>477</v>
      </c>
      <c r="C396" s="167" t="s">
        <v>464</v>
      </c>
      <c r="D396" s="172">
        <v>21161761.82052232</v>
      </c>
      <c r="E396" s="173" t="s">
        <v>517</v>
      </c>
      <c r="F396" s="173" t="s">
        <v>478</v>
      </c>
      <c r="G396" s="262" t="s">
        <v>932</v>
      </c>
      <c r="H396" s="173" t="s">
        <v>86</v>
      </c>
      <c r="I396" s="180" t="s">
        <v>244</v>
      </c>
      <c r="J396" s="173" t="s">
        <v>589</v>
      </c>
      <c r="K396" s="241">
        <v>39259</v>
      </c>
      <c r="L396" s="173"/>
      <c r="M396" s="262"/>
      <c r="N396" s="150">
        <f>3930/4</f>
        <v>982.5</v>
      </c>
      <c r="O396" s="461">
        <f>CompletedProjects[[#This Row],[Power Plant Size (MW) or Share]]*0.593*9057*211.9*10^(-9)</f>
        <v>1.1181564590917499</v>
      </c>
      <c r="P396" s="337">
        <f>CompletedProjects[[#This Row],[Annual Emissions (MMTCO2)]]*40</f>
        <v>44.726258363669999</v>
      </c>
      <c r="Q396" s="203"/>
      <c r="R396" s="167" t="s">
        <v>479</v>
      </c>
      <c r="S396" s="167"/>
      <c r="T396" s="167"/>
      <c r="U396" s="2"/>
      <c r="V396" s="2"/>
      <c r="Y396" s="2"/>
    </row>
    <row r="397" spans="1:25" ht="71.7">
      <c r="A397" s="167" t="s">
        <v>75</v>
      </c>
      <c r="B397" s="186" t="s">
        <v>519</v>
      </c>
      <c r="C397" s="186" t="s">
        <v>464</v>
      </c>
      <c r="D397" s="172">
        <f>350000*'Dev Bank Share by Country'!$K$65</f>
        <v>15158.5</v>
      </c>
      <c r="E397" s="173" t="s">
        <v>542</v>
      </c>
      <c r="F397" s="173" t="s">
        <v>543</v>
      </c>
      <c r="G397" s="262"/>
      <c r="H397" s="173" t="s">
        <v>201</v>
      </c>
      <c r="I397" s="173" t="s">
        <v>40</v>
      </c>
      <c r="J397" s="173" t="s">
        <v>40</v>
      </c>
      <c r="K397" s="241">
        <v>41977</v>
      </c>
      <c r="L397" s="173" t="s">
        <v>1713</v>
      </c>
      <c r="M397" s="262" t="s">
        <v>805</v>
      </c>
      <c r="N397" s="102"/>
      <c r="O397" s="461">
        <f>CompletedProjects[[#This Row],[Power Plant Size (MW) or Share]]*0.593*9057*211.9*10^(-9)</f>
        <v>0</v>
      </c>
      <c r="P397" s="337">
        <f>CompletedProjects[[#This Row],[Annual Emissions (MMTCO2)]]*40</f>
        <v>0</v>
      </c>
      <c r="Q397" s="173"/>
      <c r="R397" s="178"/>
      <c r="S397" s="167"/>
      <c r="T397" s="178"/>
      <c r="U397" s="2"/>
      <c r="V397" s="2"/>
      <c r="Y397" s="2"/>
    </row>
    <row r="398" spans="1:25" ht="28.7">
      <c r="A398" s="167" t="s">
        <v>75</v>
      </c>
      <c r="B398" s="167" t="s">
        <v>477</v>
      </c>
      <c r="C398" s="194" t="s">
        <v>464</v>
      </c>
      <c r="D398" s="172">
        <f>65000000*0.161</f>
        <v>10465000</v>
      </c>
      <c r="E398" s="173" t="s">
        <v>491</v>
      </c>
      <c r="F398" s="173" t="s">
        <v>492</v>
      </c>
      <c r="G398" s="262" t="s">
        <v>939</v>
      </c>
      <c r="H398" s="173" t="s">
        <v>493</v>
      </c>
      <c r="I398" s="180" t="s">
        <v>283</v>
      </c>
      <c r="J398" s="173" t="s">
        <v>26</v>
      </c>
      <c r="K398" s="241">
        <v>39959</v>
      </c>
      <c r="L398" s="173" t="s">
        <v>1669</v>
      </c>
      <c r="M398" s="262" t="s">
        <v>940</v>
      </c>
      <c r="N398" s="256">
        <f>(64+120)/4</f>
        <v>46</v>
      </c>
      <c r="O398" s="461">
        <f>CompletedProjects[[#This Row],[Power Plant Size (MW) or Share]]*0.593*9057*211.9*10^(-9)</f>
        <v>5.2351345667400004E-2</v>
      </c>
      <c r="P398" s="337">
        <f>CompletedProjects[[#This Row],[Annual Emissions (MMTCO2)]]*40</f>
        <v>2.0940538266960003</v>
      </c>
      <c r="Q398" s="204"/>
      <c r="R398" s="167" t="s">
        <v>494</v>
      </c>
      <c r="S398" s="167"/>
      <c r="T398" s="167"/>
      <c r="U398" s="2"/>
      <c r="V398" s="2"/>
      <c r="Y398" s="2"/>
    </row>
    <row r="399" spans="1:25" ht="43">
      <c r="A399" s="218" t="s">
        <v>75</v>
      </c>
      <c r="B399" s="218" t="s">
        <v>559</v>
      </c>
      <c r="C399" s="218" t="s">
        <v>464</v>
      </c>
      <c r="D399" s="172">
        <v>4797025.7225509658</v>
      </c>
      <c r="E399" s="173" t="s">
        <v>602</v>
      </c>
      <c r="F399" s="173" t="s">
        <v>603</v>
      </c>
      <c r="G399" s="262" t="s">
        <v>801</v>
      </c>
      <c r="H399" s="173" t="s">
        <v>39</v>
      </c>
      <c r="I399" s="180" t="s">
        <v>283</v>
      </c>
      <c r="J399" s="173" t="s">
        <v>277</v>
      </c>
      <c r="K399" s="240">
        <v>40561</v>
      </c>
      <c r="L399" s="173" t="s">
        <v>910</v>
      </c>
      <c r="M399" s="262"/>
      <c r="N399" s="337">
        <f>60/12</f>
        <v>5</v>
      </c>
      <c r="O399" s="461">
        <f>CompletedProjects[[#This Row],[Power Plant Size (MW) or Share]]*0.593*9057*211.9*10^(-9)</f>
        <v>5.6903636594999992E-3</v>
      </c>
      <c r="P399" s="337">
        <f>CompletedProjects[[#This Row],[Annual Emissions (MMTCO2)]]*40</f>
        <v>0.22761454637999998</v>
      </c>
      <c r="Q399" s="176"/>
      <c r="R399" s="178" t="s">
        <v>537</v>
      </c>
      <c r="S399" s="167"/>
      <c r="T399" s="178"/>
      <c r="U399" s="2"/>
      <c r="V399" s="2"/>
      <c r="Y399" s="2"/>
    </row>
    <row r="400" spans="1:25" ht="57.35">
      <c r="A400" s="181" t="s">
        <v>75</v>
      </c>
      <c r="B400" s="182" t="s">
        <v>559</v>
      </c>
      <c r="C400" s="182" t="s">
        <v>464</v>
      </c>
      <c r="D400" s="172">
        <v>6469618.9163542967</v>
      </c>
      <c r="E400" s="173" t="s">
        <v>610</v>
      </c>
      <c r="F400" s="173" t="s">
        <v>610</v>
      </c>
      <c r="G400" s="262" t="s">
        <v>1604</v>
      </c>
      <c r="H400" s="173" t="s">
        <v>368</v>
      </c>
      <c r="I400" s="173" t="s">
        <v>40</v>
      </c>
      <c r="J400" s="173" t="s">
        <v>40</v>
      </c>
      <c r="K400" s="240">
        <v>41264</v>
      </c>
      <c r="L400" s="173" t="s">
        <v>1695</v>
      </c>
      <c r="M400" s="262"/>
      <c r="N400" s="337"/>
      <c r="O400" s="461">
        <f>CompletedProjects[[#This Row],[Power Plant Size (MW) or Share]]*0.593*9057*211.9*10^(-9)</f>
        <v>0</v>
      </c>
      <c r="P400" s="337">
        <f>CompletedProjects[[#This Row],[Annual Emissions (MMTCO2)]]*40</f>
        <v>0</v>
      </c>
      <c r="Q400" s="176"/>
      <c r="R400" s="178"/>
      <c r="S400" s="167"/>
      <c r="T400" s="178"/>
      <c r="U400" s="2"/>
      <c r="V400" s="2"/>
      <c r="Y400" s="2"/>
    </row>
    <row r="401" spans="1:25" ht="258">
      <c r="A401" s="167" t="s">
        <v>75</v>
      </c>
      <c r="B401" s="167" t="s">
        <v>512</v>
      </c>
      <c r="C401" s="167" t="s">
        <v>464</v>
      </c>
      <c r="D401" s="172">
        <f>11000000*'Dev Bank Share by Country'!$E$65</f>
        <v>602415.97156144958</v>
      </c>
      <c r="E401" s="173" t="s">
        <v>420</v>
      </c>
      <c r="F401" s="173" t="s">
        <v>421</v>
      </c>
      <c r="G401" s="262" t="s">
        <v>769</v>
      </c>
      <c r="H401" s="173" t="s">
        <v>422</v>
      </c>
      <c r="I401" s="180" t="s">
        <v>283</v>
      </c>
      <c r="J401" s="173" t="s">
        <v>277</v>
      </c>
      <c r="K401" s="241">
        <v>39777</v>
      </c>
      <c r="L401" s="197"/>
      <c r="M401" s="273"/>
      <c r="N401" s="256"/>
      <c r="O401" s="461">
        <f>CompletedProjects[[#This Row],[Power Plant Size (MW) or Share]]*0.593*9057*211.9*10^(-9)</f>
        <v>0</v>
      </c>
      <c r="P401" s="337">
        <f>CompletedProjects[[#This Row],[Annual Emissions (MMTCO2)]]*40</f>
        <v>0</v>
      </c>
      <c r="Q401" s="167"/>
      <c r="R401" s="173" t="s">
        <v>834</v>
      </c>
      <c r="S401" s="167" t="s">
        <v>633</v>
      </c>
      <c r="T401" s="173"/>
      <c r="U401" s="2"/>
      <c r="V401" s="2"/>
      <c r="Y401" s="2"/>
    </row>
    <row r="402" spans="1:25" ht="57.35">
      <c r="A402" s="167" t="s">
        <v>75</v>
      </c>
      <c r="B402" s="167" t="s">
        <v>477</v>
      </c>
      <c r="C402" s="194" t="s">
        <v>464</v>
      </c>
      <c r="D402" s="172">
        <v>6858157.5609657103</v>
      </c>
      <c r="E402" s="173" t="s">
        <v>504</v>
      </c>
      <c r="F402" s="173" t="s">
        <v>505</v>
      </c>
      <c r="G402" s="262" t="s">
        <v>945</v>
      </c>
      <c r="H402" s="173" t="s">
        <v>506</v>
      </c>
      <c r="I402" s="180" t="s">
        <v>244</v>
      </c>
      <c r="J402" s="173" t="s">
        <v>589</v>
      </c>
      <c r="K402" s="241">
        <v>40893</v>
      </c>
      <c r="L402" s="173"/>
      <c r="M402" s="262" t="s">
        <v>946</v>
      </c>
      <c r="N402" s="256">
        <f>(150+115)/4</f>
        <v>66.25</v>
      </c>
      <c r="O402" s="461">
        <f>CompletedProjects[[#This Row],[Power Plant Size (MW) or Share]]*0.593*9057*211.9*10^(-9)</f>
        <v>7.5397318488374998E-2</v>
      </c>
      <c r="P402" s="337">
        <f>CompletedProjects[[#This Row],[Annual Emissions (MMTCO2)]]*40</f>
        <v>3.0158927395349999</v>
      </c>
      <c r="Q402" s="203"/>
      <c r="R402" s="167" t="s">
        <v>507</v>
      </c>
      <c r="S402" s="167"/>
      <c r="T402" s="167"/>
      <c r="U402" s="2"/>
      <c r="V402" s="2"/>
      <c r="Y402" s="2"/>
    </row>
    <row r="403" spans="1:25" ht="71.7">
      <c r="A403" s="167" t="s">
        <v>75</v>
      </c>
      <c r="B403" s="171" t="s">
        <v>212</v>
      </c>
      <c r="C403" s="171" t="s">
        <v>337</v>
      </c>
      <c r="D403" s="172">
        <v>413450000</v>
      </c>
      <c r="E403" s="173" t="s">
        <v>218</v>
      </c>
      <c r="F403" s="173" t="s">
        <v>219</v>
      </c>
      <c r="G403" s="263" t="s">
        <v>725</v>
      </c>
      <c r="H403" s="173" t="s">
        <v>65</v>
      </c>
      <c r="I403" s="180" t="s">
        <v>283</v>
      </c>
      <c r="J403" s="173" t="s">
        <v>26</v>
      </c>
      <c r="K403" s="241">
        <v>39448</v>
      </c>
      <c r="L403" s="173" t="s">
        <v>280</v>
      </c>
      <c r="M403" s="263" t="s">
        <v>736</v>
      </c>
      <c r="N403" s="337">
        <v>1600</v>
      </c>
      <c r="O403" s="461">
        <f>CompletedProjects[[#This Row],[Power Plant Size (MW) or Share]]*0.593*9057*211.9*10^(-9)</f>
        <v>1.82091637104</v>
      </c>
      <c r="P403" s="337">
        <f>CompletedProjects[[#This Row],[Annual Emissions (MMTCO2)]]*40</f>
        <v>72.836654841599994</v>
      </c>
      <c r="Q403" s="176"/>
      <c r="R403" s="199"/>
      <c r="S403" s="167"/>
      <c r="T403" s="199"/>
      <c r="U403" s="2"/>
      <c r="V403" s="2"/>
      <c r="Y403" s="2"/>
    </row>
    <row r="404" spans="1:25" ht="28.7">
      <c r="A404" s="167" t="s">
        <v>75</v>
      </c>
      <c r="B404" s="171" t="s">
        <v>212</v>
      </c>
      <c r="C404" s="171" t="s">
        <v>337</v>
      </c>
      <c r="D404" s="172"/>
      <c r="E404" s="171" t="s">
        <v>35</v>
      </c>
      <c r="F404" s="173" t="s">
        <v>304</v>
      </c>
      <c r="G404" s="263" t="s">
        <v>739</v>
      </c>
      <c r="H404" s="173" t="s">
        <v>144</v>
      </c>
      <c r="I404" s="180" t="s">
        <v>283</v>
      </c>
      <c r="J404" s="173" t="s">
        <v>26</v>
      </c>
      <c r="K404" s="241">
        <v>39448</v>
      </c>
      <c r="L404" s="173"/>
      <c r="M404" s="262"/>
      <c r="N404" s="337">
        <v>460</v>
      </c>
      <c r="O404" s="461">
        <f>CompletedProjects[[#This Row],[Power Plant Size (MW) or Share]]*0.593*9057*211.9*10^(-9)</f>
        <v>0.52351345667400007</v>
      </c>
      <c r="P404" s="337">
        <f>CompletedProjects[[#This Row],[Annual Emissions (MMTCO2)]]*40</f>
        <v>20.940538266960004</v>
      </c>
      <c r="Q404" s="176"/>
      <c r="R404" s="178"/>
      <c r="S404" s="167"/>
      <c r="T404" s="178"/>
      <c r="U404" s="2"/>
      <c r="V404" s="2"/>
      <c r="Y404" s="2"/>
    </row>
    <row r="405" spans="1:25" ht="28.7">
      <c r="A405" s="167" t="s">
        <v>75</v>
      </c>
      <c r="B405" s="171" t="s">
        <v>209</v>
      </c>
      <c r="C405" s="171" t="s">
        <v>337</v>
      </c>
      <c r="D405" s="172"/>
      <c r="E405" s="171" t="s">
        <v>35</v>
      </c>
      <c r="F405" s="173" t="s">
        <v>214</v>
      </c>
      <c r="G405" s="262"/>
      <c r="H405" s="173" t="s">
        <v>75</v>
      </c>
      <c r="I405" s="180" t="s">
        <v>283</v>
      </c>
      <c r="J405" s="173" t="s">
        <v>26</v>
      </c>
      <c r="K405" s="241">
        <v>39448</v>
      </c>
      <c r="L405" s="173"/>
      <c r="M405" s="262"/>
      <c r="N405" s="337"/>
      <c r="O405" s="461">
        <f>CompletedProjects[[#This Row],[Power Plant Size (MW) or Share]]*0.593*9057*211.9*10^(-9)</f>
        <v>0</v>
      </c>
      <c r="P405" s="337">
        <f>CompletedProjects[[#This Row],[Annual Emissions (MMTCO2)]]*40</f>
        <v>0</v>
      </c>
      <c r="Q405" s="176"/>
      <c r="R405" s="178"/>
      <c r="S405" s="167"/>
      <c r="T405" s="178"/>
      <c r="U405" s="2"/>
      <c r="V405" s="2"/>
      <c r="Y405" s="2"/>
    </row>
    <row r="406" spans="1:25" ht="114.7">
      <c r="A406" s="167" t="s">
        <v>75</v>
      </c>
      <c r="B406" s="171" t="s">
        <v>212</v>
      </c>
      <c r="C406" s="171" t="s">
        <v>337</v>
      </c>
      <c r="D406" s="172"/>
      <c r="E406" s="173" t="s">
        <v>35</v>
      </c>
      <c r="F406" s="173" t="s">
        <v>35</v>
      </c>
      <c r="G406" s="262"/>
      <c r="H406" s="173" t="s">
        <v>35</v>
      </c>
      <c r="I406" s="173" t="s">
        <v>284</v>
      </c>
      <c r="J406" s="173" t="s">
        <v>1501</v>
      </c>
      <c r="K406" s="241">
        <v>39448</v>
      </c>
      <c r="L406" s="173" t="s">
        <v>883</v>
      </c>
      <c r="M406" s="262" t="s">
        <v>879</v>
      </c>
      <c r="N406" s="337"/>
      <c r="O406" s="461">
        <f>CompletedProjects[[#This Row],[Power Plant Size (MW) or Share]]*0.593*9057*211.9*10^(-9)</f>
        <v>0</v>
      </c>
      <c r="P406" s="337">
        <f>CompletedProjects[[#This Row],[Annual Emissions (MMTCO2)]]*40</f>
        <v>0</v>
      </c>
      <c r="Q406" s="176"/>
      <c r="R406" s="178"/>
      <c r="S406" s="167"/>
      <c r="T406" s="178"/>
      <c r="U406" s="2"/>
      <c r="V406" s="2"/>
      <c r="Y406" s="2"/>
    </row>
    <row r="407" spans="1:25" ht="71.7">
      <c r="A407" s="167" t="s">
        <v>75</v>
      </c>
      <c r="B407" s="192" t="s">
        <v>34</v>
      </c>
      <c r="C407" s="171" t="s">
        <v>336</v>
      </c>
      <c r="D407" s="172">
        <v>22257209.565000001</v>
      </c>
      <c r="E407" s="173" t="s">
        <v>37</v>
      </c>
      <c r="F407" s="173" t="s">
        <v>38</v>
      </c>
      <c r="G407" s="263" t="s">
        <v>654</v>
      </c>
      <c r="H407" s="173" t="s">
        <v>39</v>
      </c>
      <c r="I407" s="173" t="s">
        <v>40</v>
      </c>
      <c r="J407" s="173" t="s">
        <v>40</v>
      </c>
      <c r="K407" s="241">
        <v>39448</v>
      </c>
      <c r="L407" s="173" t="s">
        <v>807</v>
      </c>
      <c r="M407" s="263"/>
      <c r="N407" s="465"/>
      <c r="O407" s="461">
        <f>CompletedProjects[[#This Row],[Power Plant Size (MW) or Share]]*0.593*9057*211.9*10^(-9)</f>
        <v>0</v>
      </c>
      <c r="P407" s="337">
        <f>CompletedProjects[[#This Row],[Annual Emissions (MMTCO2)]]*40</f>
        <v>0</v>
      </c>
      <c r="Q407" s="193"/>
      <c r="R407" s="192"/>
      <c r="S407" s="167"/>
      <c r="T407" s="192"/>
      <c r="U407" s="2"/>
      <c r="V407" s="2"/>
      <c r="Y407" s="2"/>
    </row>
    <row r="408" spans="1:25" ht="28.7">
      <c r="A408" s="167" t="s">
        <v>75</v>
      </c>
      <c r="B408" s="167" t="s">
        <v>477</v>
      </c>
      <c r="C408" s="167" t="s">
        <v>464</v>
      </c>
      <c r="D408" s="172">
        <v>118169452.15940833</v>
      </c>
      <c r="E408" s="173" t="s">
        <v>488</v>
      </c>
      <c r="F408" s="173" t="s">
        <v>489</v>
      </c>
      <c r="G408" s="262" t="s">
        <v>937</v>
      </c>
      <c r="H408" s="173" t="s">
        <v>75</v>
      </c>
      <c r="I408" s="180" t="s">
        <v>283</v>
      </c>
      <c r="J408" s="173" t="s">
        <v>26</v>
      </c>
      <c r="K408" s="241">
        <v>39472</v>
      </c>
      <c r="L408" s="173"/>
      <c r="M408" s="262" t="s">
        <v>938</v>
      </c>
      <c r="N408" s="150">
        <f>(800+220)/4</f>
        <v>255</v>
      </c>
      <c r="O408" s="461">
        <f>CompletedProjects[[#This Row],[Power Plant Size (MW) or Share]]*0.593*9057*211.9*10^(-9)</f>
        <v>0.29020854663450002</v>
      </c>
      <c r="P408" s="337">
        <f>CompletedProjects[[#This Row],[Annual Emissions (MMTCO2)]]*40</f>
        <v>11.608341865380002</v>
      </c>
      <c r="Q408" s="203"/>
      <c r="R408" s="167" t="s">
        <v>490</v>
      </c>
      <c r="S408" s="167"/>
      <c r="T408" s="167"/>
      <c r="U408" s="2"/>
      <c r="V408" s="2"/>
      <c r="Y408" s="2"/>
    </row>
    <row r="409" spans="1:25" ht="71.7">
      <c r="A409" s="167" t="s">
        <v>75</v>
      </c>
      <c r="B409" s="186" t="s">
        <v>519</v>
      </c>
      <c r="C409" s="186" t="s">
        <v>464</v>
      </c>
      <c r="D409" s="172">
        <f>900525000*'Dev Bank Share by Country'!$K$65</f>
        <v>39001737.75</v>
      </c>
      <c r="E409" s="173" t="s">
        <v>510</v>
      </c>
      <c r="F409" s="173" t="s">
        <v>541</v>
      </c>
      <c r="G409" s="262"/>
      <c r="H409" s="173" t="s">
        <v>442</v>
      </c>
      <c r="I409" s="180" t="s">
        <v>283</v>
      </c>
      <c r="J409" s="173" t="s">
        <v>26</v>
      </c>
      <c r="K409" s="241">
        <v>41617</v>
      </c>
      <c r="L409" s="178" t="s">
        <v>1712</v>
      </c>
      <c r="M409" s="262" t="s">
        <v>902</v>
      </c>
      <c r="N409" s="337">
        <f>600/13</f>
        <v>46.153846153846153</v>
      </c>
      <c r="O409" s="461">
        <f>CompletedProjects[[#This Row],[Power Plant Size (MW) or Share]]*0.593*9057*211.9*10^(-9)</f>
        <v>5.2526433780000006E-2</v>
      </c>
      <c r="P409" s="337">
        <f>CompletedProjects[[#This Row],[Annual Emissions (MMTCO2)]]*40</f>
        <v>2.1010573512000001</v>
      </c>
      <c r="Q409" s="176"/>
      <c r="R409" s="178" t="s">
        <v>524</v>
      </c>
      <c r="S409" s="167"/>
      <c r="T409" s="178"/>
      <c r="U409" s="2"/>
      <c r="V409" s="2"/>
      <c r="Y409" s="2"/>
    </row>
    <row r="410" spans="1:25" ht="28.7">
      <c r="A410" s="181" t="s">
        <v>75</v>
      </c>
      <c r="B410" s="182" t="s">
        <v>519</v>
      </c>
      <c r="C410" s="182" t="s">
        <v>464</v>
      </c>
      <c r="D410" s="172">
        <f>70500000*'Dev Bank Share by Country'!$K$65</f>
        <v>3053355</v>
      </c>
      <c r="E410" s="183" t="s">
        <v>1400</v>
      </c>
      <c r="F410" s="183" t="s">
        <v>1399</v>
      </c>
      <c r="G410" s="267" t="s">
        <v>1401</v>
      </c>
      <c r="H410" s="183" t="s">
        <v>273</v>
      </c>
      <c r="I410" s="180" t="s">
        <v>283</v>
      </c>
      <c r="J410" s="183" t="s">
        <v>26</v>
      </c>
      <c r="K410" s="242">
        <v>40813</v>
      </c>
      <c r="L410" s="183" t="s">
        <v>1711</v>
      </c>
      <c r="M410" s="267"/>
      <c r="N410" s="338"/>
      <c r="O410" s="461">
        <f>CompletedProjects[[#This Row],[Power Plant Size (MW) or Share]]*0.593*9057*211.9*10^(-9)</f>
        <v>0</v>
      </c>
      <c r="P410" s="337">
        <f>CompletedProjects[[#This Row],[Annual Emissions (MMTCO2)]]*40</f>
        <v>0</v>
      </c>
      <c r="Q410" s="169"/>
      <c r="R410" s="185"/>
      <c r="S410" s="181"/>
      <c r="T410" s="185"/>
      <c r="U410" s="2"/>
      <c r="V410" s="2"/>
      <c r="Y410" s="2"/>
    </row>
    <row r="411" spans="1:25" ht="57.35">
      <c r="A411" s="167" t="s">
        <v>75</v>
      </c>
      <c r="B411" s="167" t="s">
        <v>519</v>
      </c>
      <c r="C411" s="194" t="s">
        <v>464</v>
      </c>
      <c r="D411" s="172">
        <f>200000000*'Dev Bank Share by Country'!$K$65</f>
        <v>8662000</v>
      </c>
      <c r="E411" s="173" t="s">
        <v>413</v>
      </c>
      <c r="F411" s="173" t="s">
        <v>523</v>
      </c>
      <c r="G411" s="262"/>
      <c r="H411" s="173" t="s">
        <v>95</v>
      </c>
      <c r="I411" s="180" t="s">
        <v>283</v>
      </c>
      <c r="J411" s="173" t="s">
        <v>277</v>
      </c>
      <c r="K411" s="241">
        <v>39554</v>
      </c>
      <c r="L411" s="167" t="s">
        <v>1319</v>
      </c>
      <c r="M411" s="262"/>
      <c r="N411" s="256">
        <f>600/13/2</f>
        <v>23.076923076923077</v>
      </c>
      <c r="O411" s="461">
        <f>CompletedProjects[[#This Row],[Power Plant Size (MW) or Share]]*0.593*9057*211.9*10^(-9)</f>
        <v>2.6263216890000003E-2</v>
      </c>
      <c r="P411" s="337">
        <f>CompletedProjects[[#This Row],[Annual Emissions (MMTCO2)]]*40</f>
        <v>1.0505286756000001</v>
      </c>
      <c r="Q411" s="203"/>
      <c r="R411" s="167" t="s">
        <v>641</v>
      </c>
      <c r="S411" s="167"/>
      <c r="T411" s="167"/>
      <c r="U411" s="2"/>
      <c r="V411" s="2"/>
      <c r="Y411" s="2"/>
    </row>
    <row r="412" spans="1:25" ht="43">
      <c r="A412" s="167" t="s">
        <v>75</v>
      </c>
      <c r="B412" s="171" t="s">
        <v>209</v>
      </c>
      <c r="C412" s="171" t="s">
        <v>337</v>
      </c>
      <c r="D412" s="172">
        <v>317900000</v>
      </c>
      <c r="E412" s="173" t="s">
        <v>41</v>
      </c>
      <c r="F412" s="173" t="s">
        <v>42</v>
      </c>
      <c r="G412" s="263" t="s">
        <v>734</v>
      </c>
      <c r="H412" s="173" t="s">
        <v>25</v>
      </c>
      <c r="I412" s="180" t="s">
        <v>283</v>
      </c>
      <c r="J412" s="173" t="s">
        <v>26</v>
      </c>
      <c r="K412" s="241">
        <v>39701</v>
      </c>
      <c r="L412" s="197"/>
      <c r="M412" s="263" t="s">
        <v>735</v>
      </c>
      <c r="N412" s="337">
        <v>4800</v>
      </c>
      <c r="O412" s="461">
        <f>CompletedProjects[[#This Row],[Power Plant Size (MW) or Share]]*0.593*9057*211.9*10^(-9)</f>
        <v>5.4627491131200001</v>
      </c>
      <c r="P412" s="337">
        <f>CompletedProjects[[#This Row],[Annual Emissions (MMTCO2)]]*40</f>
        <v>218.50996452480001</v>
      </c>
      <c r="Q412" s="176"/>
      <c r="R412" s="173" t="s">
        <v>245</v>
      </c>
      <c r="S412" s="167"/>
      <c r="T412" s="173"/>
      <c r="U412" s="30"/>
      <c r="V412" s="2"/>
      <c r="Y412" s="2"/>
    </row>
    <row r="413" spans="1:25" ht="114.7">
      <c r="A413" s="167" t="s">
        <v>75</v>
      </c>
      <c r="B413" s="192" t="s">
        <v>34</v>
      </c>
      <c r="C413" s="171" t="s">
        <v>336</v>
      </c>
      <c r="D413" s="172">
        <v>350411400</v>
      </c>
      <c r="E413" s="173" t="s">
        <v>41</v>
      </c>
      <c r="F413" s="173" t="s">
        <v>42</v>
      </c>
      <c r="G413" s="262" t="s">
        <v>669</v>
      </c>
      <c r="H413" s="173" t="s">
        <v>25</v>
      </c>
      <c r="I413" s="180" t="s">
        <v>283</v>
      </c>
      <c r="J413" s="173" t="s">
        <v>26</v>
      </c>
      <c r="K413" s="241">
        <v>39701</v>
      </c>
      <c r="L413" s="197"/>
      <c r="M413" s="263"/>
      <c r="N413" s="465">
        <v>1200</v>
      </c>
      <c r="O413" s="461">
        <f>CompletedProjects[[#This Row],[Power Plant Size (MW) or Share]]*0.593*9057*211.9*10^(-9)</f>
        <v>1.36568727828</v>
      </c>
      <c r="P413" s="337">
        <f>CompletedProjects[[#This Row],[Annual Emissions (MMTCO2)]]*40</f>
        <v>54.627491131200003</v>
      </c>
      <c r="Q413" s="193"/>
      <c r="R413" s="173" t="s">
        <v>808</v>
      </c>
      <c r="S413" s="167"/>
      <c r="T413" s="173"/>
      <c r="U413" s="2"/>
      <c r="V413" s="2"/>
      <c r="Y413" s="2"/>
    </row>
    <row r="414" spans="1:25" ht="43">
      <c r="A414" s="167" t="s">
        <v>75</v>
      </c>
      <c r="B414" s="167" t="s">
        <v>519</v>
      </c>
      <c r="C414" s="194" t="s">
        <v>464</v>
      </c>
      <c r="D414" s="172">
        <f>27860000*'Dev Bank Share by Country'!$K$65</f>
        <v>1206616.6000000001</v>
      </c>
      <c r="E414" s="173" t="s">
        <v>520</v>
      </c>
      <c r="F414" s="173" t="s">
        <v>521</v>
      </c>
      <c r="G414" s="262"/>
      <c r="H414" s="173" t="s">
        <v>63</v>
      </c>
      <c r="I414" s="180" t="s">
        <v>283</v>
      </c>
      <c r="J414" s="173" t="s">
        <v>26</v>
      </c>
      <c r="K414" s="241">
        <v>39357</v>
      </c>
      <c r="L414" s="167" t="s">
        <v>1320</v>
      </c>
      <c r="M414" s="262"/>
      <c r="N414" s="256">
        <f>1080/13</f>
        <v>83.07692307692308</v>
      </c>
      <c r="O414" s="461">
        <f>CompletedProjects[[#This Row],[Power Plant Size (MW) or Share]]*0.593*9057*211.9*10^(-9)</f>
        <v>9.4547580804000012E-2</v>
      </c>
      <c r="P414" s="337">
        <f>CompletedProjects[[#This Row],[Annual Emissions (MMTCO2)]]*40</f>
        <v>3.7819032321600003</v>
      </c>
      <c r="Q414" s="203"/>
      <c r="R414" s="167" t="s">
        <v>522</v>
      </c>
      <c r="S414" s="167"/>
      <c r="T414" s="167"/>
      <c r="U414" s="2"/>
      <c r="V414" s="2"/>
      <c r="Y414" s="2"/>
    </row>
    <row r="415" spans="1:25" ht="43">
      <c r="A415" s="167" t="s">
        <v>75</v>
      </c>
      <c r="B415" s="171" t="s">
        <v>209</v>
      </c>
      <c r="C415" s="171" t="s">
        <v>337</v>
      </c>
      <c r="D415" s="172">
        <v>460000000</v>
      </c>
      <c r="E415" s="173" t="s">
        <v>220</v>
      </c>
      <c r="F415" s="173" t="s">
        <v>303</v>
      </c>
      <c r="G415" s="263" t="s">
        <v>737</v>
      </c>
      <c r="H415" s="173" t="s">
        <v>221</v>
      </c>
      <c r="I415" s="180" t="s">
        <v>283</v>
      </c>
      <c r="J415" s="173" t="s">
        <v>26</v>
      </c>
      <c r="K415" s="241">
        <v>39735</v>
      </c>
      <c r="L415" s="197"/>
      <c r="M415" s="263" t="s">
        <v>738</v>
      </c>
      <c r="N415" s="337">
        <v>660</v>
      </c>
      <c r="O415" s="461">
        <f>CompletedProjects[[#This Row],[Power Plant Size (MW) or Share]]*0.593*9057*211.9*10^(-9)</f>
        <v>0.75112800305400007</v>
      </c>
      <c r="P415" s="337">
        <f>CompletedProjects[[#This Row],[Annual Emissions (MMTCO2)]]*40</f>
        <v>30.045120122160004</v>
      </c>
      <c r="Q415" s="176"/>
      <c r="R415" s="173" t="s">
        <v>222</v>
      </c>
      <c r="S415" s="167"/>
      <c r="T415" s="173"/>
      <c r="U415" s="2"/>
      <c r="V415" s="2"/>
      <c r="Y415" s="2"/>
    </row>
    <row r="416" spans="1:25" ht="86">
      <c r="A416" s="167" t="s">
        <v>75</v>
      </c>
      <c r="B416" s="192" t="s">
        <v>34</v>
      </c>
      <c r="C416" s="171" t="s">
        <v>336</v>
      </c>
      <c r="D416" s="172">
        <v>20880666.0495</v>
      </c>
      <c r="E416" s="173" t="s">
        <v>43</v>
      </c>
      <c r="F416" s="173" t="s">
        <v>44</v>
      </c>
      <c r="G416" s="263" t="s">
        <v>654</v>
      </c>
      <c r="H416" s="173" t="s">
        <v>45</v>
      </c>
      <c r="I416" s="173" t="s">
        <v>40</v>
      </c>
      <c r="J416" s="173" t="s">
        <v>40</v>
      </c>
      <c r="K416" s="241">
        <v>39783</v>
      </c>
      <c r="L416" s="197"/>
      <c r="M416" s="263"/>
      <c r="N416" s="465"/>
      <c r="O416" s="461">
        <f>CompletedProjects[[#This Row],[Power Plant Size (MW) or Share]]*0.593*9057*211.9*10^(-9)</f>
        <v>0</v>
      </c>
      <c r="P416" s="337">
        <f>CompletedProjects[[#This Row],[Annual Emissions (MMTCO2)]]*40</f>
        <v>0</v>
      </c>
      <c r="Q416" s="193"/>
      <c r="R416" s="173" t="s">
        <v>46</v>
      </c>
      <c r="S416" s="167"/>
      <c r="T416" s="173"/>
      <c r="U416" s="2"/>
      <c r="V416" s="2"/>
      <c r="Y416" s="2"/>
    </row>
    <row r="417" spans="1:25" ht="43">
      <c r="A417" s="167" t="s">
        <v>75</v>
      </c>
      <c r="B417" s="171" t="s">
        <v>209</v>
      </c>
      <c r="C417" s="171" t="s">
        <v>337</v>
      </c>
      <c r="D417" s="172"/>
      <c r="E417" s="171" t="s">
        <v>35</v>
      </c>
      <c r="F417" s="173" t="s">
        <v>214</v>
      </c>
      <c r="G417" s="263" t="s">
        <v>740</v>
      </c>
      <c r="H417" s="173" t="s">
        <v>144</v>
      </c>
      <c r="I417" s="180" t="s">
        <v>283</v>
      </c>
      <c r="J417" s="173" t="s">
        <v>26</v>
      </c>
      <c r="K417" s="241">
        <v>39814</v>
      </c>
      <c r="L417" s="197"/>
      <c r="M417" s="262" t="s">
        <v>881</v>
      </c>
      <c r="N417" s="337"/>
      <c r="O417" s="461">
        <f>CompletedProjects[[#This Row],[Power Plant Size (MW) or Share]]*0.593*9057*211.9*10^(-9)</f>
        <v>0</v>
      </c>
      <c r="P417" s="337">
        <f>CompletedProjects[[#This Row],[Annual Emissions (MMTCO2)]]*40</f>
        <v>0</v>
      </c>
      <c r="Q417" s="176"/>
      <c r="R417" s="173" t="s">
        <v>882</v>
      </c>
      <c r="S417" s="167"/>
      <c r="T417" s="173"/>
      <c r="U417" s="2"/>
      <c r="V417" s="2"/>
      <c r="Y417" s="2"/>
    </row>
    <row r="418" spans="1:25" ht="28.7">
      <c r="A418" s="167" t="s">
        <v>75</v>
      </c>
      <c r="B418" s="171" t="s">
        <v>212</v>
      </c>
      <c r="C418" s="171" t="s">
        <v>337</v>
      </c>
      <c r="D418" s="172"/>
      <c r="E418" s="171" t="s">
        <v>35</v>
      </c>
      <c r="F418" s="173" t="s">
        <v>306</v>
      </c>
      <c r="G418" s="263" t="s">
        <v>742</v>
      </c>
      <c r="H418" s="173" t="s">
        <v>35</v>
      </c>
      <c r="I418" s="173" t="s">
        <v>284</v>
      </c>
      <c r="J418" s="173" t="s">
        <v>247</v>
      </c>
      <c r="K418" s="241">
        <v>39814</v>
      </c>
      <c r="L418" s="197"/>
      <c r="M418" s="262"/>
      <c r="N418" s="337"/>
      <c r="O418" s="461">
        <f>CompletedProjects[[#This Row],[Power Plant Size (MW) or Share]]*0.593*9057*211.9*10^(-9)</f>
        <v>0</v>
      </c>
      <c r="P418" s="337">
        <f>CompletedProjects[[#This Row],[Annual Emissions (MMTCO2)]]*40</f>
        <v>0</v>
      </c>
      <c r="Q418" s="176"/>
      <c r="R418" s="173"/>
      <c r="S418" s="167"/>
      <c r="T418" s="173"/>
      <c r="U418" s="2"/>
      <c r="V418" s="2"/>
      <c r="Y418" s="2"/>
    </row>
    <row r="419" spans="1:25" ht="28.7">
      <c r="A419" s="167" t="s">
        <v>75</v>
      </c>
      <c r="B419" s="171" t="s">
        <v>212</v>
      </c>
      <c r="C419" s="171" t="s">
        <v>337</v>
      </c>
      <c r="D419" s="172"/>
      <c r="E419" s="171" t="s">
        <v>35</v>
      </c>
      <c r="F419" s="173" t="s">
        <v>305</v>
      </c>
      <c r="G419" s="263" t="s">
        <v>741</v>
      </c>
      <c r="H419" s="173" t="s">
        <v>36</v>
      </c>
      <c r="I419" s="180" t="s">
        <v>283</v>
      </c>
      <c r="J419" s="173" t="s">
        <v>26</v>
      </c>
      <c r="K419" s="241">
        <v>39814</v>
      </c>
      <c r="L419" s="197"/>
      <c r="M419" s="262"/>
      <c r="N419" s="337">
        <v>1360</v>
      </c>
      <c r="O419" s="461">
        <f>CompletedProjects[[#This Row],[Power Plant Size (MW) or Share]]*0.593*9057*211.9*10^(-9)</f>
        <v>1.5477789153840003</v>
      </c>
      <c r="P419" s="337">
        <f>CompletedProjects[[#This Row],[Annual Emissions (MMTCO2)]]*40</f>
        <v>61.911156615360014</v>
      </c>
      <c r="Q419" s="176"/>
      <c r="R419" s="173"/>
      <c r="S419" s="167"/>
      <c r="T419" s="173"/>
      <c r="U419" s="2"/>
      <c r="V419" s="2"/>
      <c r="Y419" s="2"/>
    </row>
    <row r="420" spans="1:25" ht="129">
      <c r="A420" s="167" t="s">
        <v>75</v>
      </c>
      <c r="B420" s="171" t="s">
        <v>212</v>
      </c>
      <c r="C420" s="171" t="s">
        <v>337</v>
      </c>
      <c r="D420" s="172"/>
      <c r="E420" s="173" t="s">
        <v>35</v>
      </c>
      <c r="F420" s="173" t="s">
        <v>35</v>
      </c>
      <c r="G420" s="262"/>
      <c r="H420" s="173" t="s">
        <v>35</v>
      </c>
      <c r="I420" s="173" t="s">
        <v>284</v>
      </c>
      <c r="J420" s="173" t="s">
        <v>1501</v>
      </c>
      <c r="K420" s="241">
        <v>39814</v>
      </c>
      <c r="L420" s="197"/>
      <c r="M420" s="262" t="s">
        <v>879</v>
      </c>
      <c r="N420" s="337"/>
      <c r="O420" s="461">
        <f>CompletedProjects[[#This Row],[Power Plant Size (MW) or Share]]*0.593*9057*211.9*10^(-9)</f>
        <v>0</v>
      </c>
      <c r="P420" s="337">
        <f>CompletedProjects[[#This Row],[Annual Emissions (MMTCO2)]]*40</f>
        <v>0</v>
      </c>
      <c r="Q420" s="176"/>
      <c r="R420" s="173" t="s">
        <v>884</v>
      </c>
      <c r="S420" s="167"/>
      <c r="T420" s="173"/>
      <c r="U420" s="2"/>
      <c r="V420" s="2"/>
      <c r="Y420" s="2"/>
    </row>
    <row r="421" spans="1:25" ht="114.7">
      <c r="A421" s="167" t="s">
        <v>75</v>
      </c>
      <c r="B421" s="171" t="s">
        <v>559</v>
      </c>
      <c r="C421" s="171" t="s">
        <v>464</v>
      </c>
      <c r="D421" s="172">
        <v>18425663.35256977</v>
      </c>
      <c r="E421" s="173" t="s">
        <v>560</v>
      </c>
      <c r="F421" s="173" t="s">
        <v>561</v>
      </c>
      <c r="G421" s="262" t="s">
        <v>790</v>
      </c>
      <c r="H421" s="173" t="s">
        <v>56</v>
      </c>
      <c r="I421" s="173" t="s">
        <v>284</v>
      </c>
      <c r="J421" s="173" t="s">
        <v>79</v>
      </c>
      <c r="K421" s="240">
        <v>42278</v>
      </c>
      <c r="L421" s="173" t="s">
        <v>865</v>
      </c>
      <c r="M421" s="262" t="s">
        <v>866</v>
      </c>
      <c r="N421" s="337"/>
      <c r="O421" s="461">
        <f>CompletedProjects[[#This Row],[Power Plant Size (MW) or Share]]*0.593*9057*211.9*10^(-9)</f>
        <v>0</v>
      </c>
      <c r="P421" s="337">
        <f>CompletedProjects[[#This Row],[Annual Emissions (MMTCO2)]]*40</f>
        <v>0</v>
      </c>
      <c r="Q421" s="176"/>
      <c r="R421" s="178"/>
      <c r="S421" s="167"/>
      <c r="T421" s="178"/>
      <c r="U421" s="2"/>
      <c r="V421" s="2"/>
      <c r="Y421" s="2"/>
    </row>
    <row r="422" spans="1:25" ht="28.7">
      <c r="A422" s="183" t="s">
        <v>75</v>
      </c>
      <c r="B422" s="183" t="s">
        <v>508</v>
      </c>
      <c r="C422" s="183" t="s">
        <v>464</v>
      </c>
      <c r="D422" s="172">
        <f>147000000*'Dev Bank Share by Country'!$O$65</f>
        <v>2786965.1535330722</v>
      </c>
      <c r="E422" s="173" t="s">
        <v>471</v>
      </c>
      <c r="F422" s="173" t="s">
        <v>472</v>
      </c>
      <c r="G422" s="262" t="s">
        <v>930</v>
      </c>
      <c r="H422" s="173" t="s">
        <v>473</v>
      </c>
      <c r="I422" s="180" t="s">
        <v>283</v>
      </c>
      <c r="J422" s="173" t="s">
        <v>26</v>
      </c>
      <c r="K422" s="241">
        <v>39892</v>
      </c>
      <c r="L422" s="197"/>
      <c r="M422" s="262"/>
      <c r="N422" s="150">
        <f>720/12</f>
        <v>60</v>
      </c>
      <c r="O422" s="461">
        <f>CompletedProjects[[#This Row],[Power Plant Size (MW) or Share]]*0.593*9057*211.9*10^(-9)</f>
        <v>6.8284363914000015E-2</v>
      </c>
      <c r="P422" s="337">
        <f>CompletedProjects[[#This Row],[Annual Emissions (MMTCO2)]]*40</f>
        <v>2.7313745565600005</v>
      </c>
      <c r="Q422" s="203"/>
      <c r="R422" s="173"/>
      <c r="S422" s="167"/>
      <c r="T422" s="173"/>
      <c r="U422" s="2"/>
      <c r="V422" s="2"/>
      <c r="Y422" s="2"/>
    </row>
    <row r="423" spans="1:25" ht="43">
      <c r="A423" s="183" t="s">
        <v>75</v>
      </c>
      <c r="B423" s="183" t="s">
        <v>508</v>
      </c>
      <c r="C423" s="183" t="s">
        <v>464</v>
      </c>
      <c r="D423" s="172">
        <f>50000000*'Dev Bank Share by Country'!$O$65</f>
        <v>947947.33113369811</v>
      </c>
      <c r="E423" s="173" t="s">
        <v>475</v>
      </c>
      <c r="F423" s="173" t="s">
        <v>476</v>
      </c>
      <c r="G423" s="262" t="s">
        <v>931</v>
      </c>
      <c r="H423" s="173" t="s">
        <v>473</v>
      </c>
      <c r="I423" s="180" t="s">
        <v>283</v>
      </c>
      <c r="J423" s="173" t="s">
        <v>26</v>
      </c>
      <c r="K423" s="241">
        <v>39892</v>
      </c>
      <c r="L423" s="197"/>
      <c r="M423" s="262"/>
      <c r="N423" s="462">
        <f>360/12</f>
        <v>30</v>
      </c>
      <c r="O423" s="461">
        <f>CompletedProjects[[#This Row],[Power Plant Size (MW) or Share]]*0.593*9057*211.9*10^(-9)</f>
        <v>3.4142181957000008E-2</v>
      </c>
      <c r="P423" s="337">
        <f>CompletedProjects[[#This Row],[Annual Emissions (MMTCO2)]]*40</f>
        <v>1.3656872782800002</v>
      </c>
      <c r="Q423" s="203"/>
      <c r="R423" s="173"/>
      <c r="S423" s="167"/>
      <c r="T423" s="173"/>
      <c r="U423" s="2"/>
      <c r="V423" s="2"/>
      <c r="Y423" s="2"/>
    </row>
    <row r="424" spans="1:25" ht="86">
      <c r="A424" s="167" t="s">
        <v>75</v>
      </c>
      <c r="B424" s="167" t="s">
        <v>511</v>
      </c>
      <c r="C424" s="167" t="s">
        <v>464</v>
      </c>
      <c r="D424" s="172">
        <f>8000000*'Dev Bank Share by Country'!$G$65</f>
        <v>401865.33125139069</v>
      </c>
      <c r="E424" s="173" t="s">
        <v>405</v>
      </c>
      <c r="F424" s="173" t="s">
        <v>406</v>
      </c>
      <c r="G424" s="262" t="s">
        <v>786</v>
      </c>
      <c r="H424" s="173" t="s">
        <v>65</v>
      </c>
      <c r="I424" s="180" t="s">
        <v>283</v>
      </c>
      <c r="J424" s="173" t="s">
        <v>26</v>
      </c>
      <c r="K424" s="241">
        <v>39234</v>
      </c>
      <c r="L424" s="173" t="s">
        <v>815</v>
      </c>
      <c r="M424" s="262" t="s">
        <v>806</v>
      </c>
      <c r="N424" s="256">
        <f>600/19</f>
        <v>31.578947368421051</v>
      </c>
      <c r="O424" s="461">
        <f>CompletedProjects[[#This Row],[Power Plant Size (MW) or Share]]*0.593*9057*211.9*10^(-9)</f>
        <v>3.5939138902105268E-2</v>
      </c>
      <c r="P424" s="337">
        <f>CompletedProjects[[#This Row],[Annual Emissions (MMTCO2)]]*40</f>
        <v>1.4375655560842107</v>
      </c>
      <c r="Q424" s="167"/>
      <c r="R424" s="167" t="s">
        <v>467</v>
      </c>
      <c r="S424" s="167" t="s">
        <v>633</v>
      </c>
      <c r="T424" s="167"/>
      <c r="U424" s="2"/>
      <c r="V424" s="2"/>
      <c r="Y424" s="2"/>
    </row>
    <row r="425" spans="1:25" ht="100.35">
      <c r="A425" s="167" t="s">
        <v>75</v>
      </c>
      <c r="B425" s="192" t="s">
        <v>34</v>
      </c>
      <c r="C425" s="171" t="s">
        <v>336</v>
      </c>
      <c r="D425" s="172">
        <v>110976774.35134999</v>
      </c>
      <c r="E425" s="173" t="s">
        <v>47</v>
      </c>
      <c r="F425" s="173" t="s">
        <v>48</v>
      </c>
      <c r="G425" s="263" t="s">
        <v>669</v>
      </c>
      <c r="H425" s="173" t="s">
        <v>25</v>
      </c>
      <c r="I425" s="180" t="s">
        <v>283</v>
      </c>
      <c r="J425" s="173" t="s">
        <v>26</v>
      </c>
      <c r="K425" s="241">
        <v>39946</v>
      </c>
      <c r="L425" s="173" t="s">
        <v>809</v>
      </c>
      <c r="M425" s="263"/>
      <c r="N425" s="465"/>
      <c r="O425" s="461">
        <f>CompletedProjects[[#This Row],[Power Plant Size (MW) or Share]]*0.593*9057*211.9*10^(-9)</f>
        <v>0</v>
      </c>
      <c r="P425" s="337">
        <f>CompletedProjects[[#This Row],[Annual Emissions (MMTCO2)]]*40</f>
        <v>0</v>
      </c>
      <c r="Q425" s="193"/>
      <c r="R425" s="192"/>
      <c r="S425" s="167"/>
      <c r="T425" s="192"/>
      <c r="U425" s="2"/>
      <c r="V425" s="2"/>
      <c r="Y425" s="2"/>
    </row>
    <row r="426" spans="1:25" ht="57.35">
      <c r="A426" s="167" t="s">
        <v>75</v>
      </c>
      <c r="B426" s="171" t="s">
        <v>212</v>
      </c>
      <c r="C426" s="171" t="s">
        <v>337</v>
      </c>
      <c r="D426" s="172">
        <v>193410015.10499999</v>
      </c>
      <c r="E426" s="173" t="s">
        <v>223</v>
      </c>
      <c r="F426" s="173" t="s">
        <v>302</v>
      </c>
      <c r="G426" s="263" t="s">
        <v>733</v>
      </c>
      <c r="H426" s="173" t="s">
        <v>224</v>
      </c>
      <c r="I426" s="180" t="s">
        <v>244</v>
      </c>
      <c r="J426" s="173" t="s">
        <v>589</v>
      </c>
      <c r="K426" s="241">
        <v>39954</v>
      </c>
      <c r="L426" s="173"/>
      <c r="M426" s="262"/>
      <c r="N426" s="337"/>
      <c r="O426" s="461">
        <f>CompletedProjects[[#This Row],[Power Plant Size (MW) or Share]]*0.593*9057*211.9*10^(-9)</f>
        <v>0</v>
      </c>
      <c r="P426" s="337">
        <f>CompletedProjects[[#This Row],[Annual Emissions (MMTCO2)]]*40</f>
        <v>0</v>
      </c>
      <c r="Q426" s="176"/>
      <c r="R426" s="178"/>
      <c r="S426" s="167"/>
      <c r="T426" s="178"/>
      <c r="U426" s="2"/>
      <c r="V426" s="2"/>
      <c r="Y426" s="2"/>
    </row>
    <row r="427" spans="1:25" ht="43">
      <c r="A427" s="167" t="s">
        <v>75</v>
      </c>
      <c r="B427" s="171" t="s">
        <v>209</v>
      </c>
      <c r="C427" s="171" t="s">
        <v>337</v>
      </c>
      <c r="D427" s="172">
        <v>126399722.92455</v>
      </c>
      <c r="E427" s="173" t="s">
        <v>47</v>
      </c>
      <c r="F427" s="173" t="s">
        <v>42</v>
      </c>
      <c r="G427" s="262" t="s">
        <v>669</v>
      </c>
      <c r="H427" s="173" t="s">
        <v>25</v>
      </c>
      <c r="I427" s="180" t="s">
        <v>283</v>
      </c>
      <c r="J427" s="173" t="s">
        <v>26</v>
      </c>
      <c r="K427" s="241">
        <v>39955</v>
      </c>
      <c r="L427" s="173"/>
      <c r="M427" s="262"/>
      <c r="N427" s="256"/>
      <c r="O427" s="461">
        <f>CompletedProjects[[#This Row],[Power Plant Size (MW) or Share]]*0.593*9057*211.9*10^(-9)</f>
        <v>0</v>
      </c>
      <c r="P427" s="337">
        <f>CompletedProjects[[#This Row],[Annual Emissions (MMTCO2)]]*40</f>
        <v>0</v>
      </c>
      <c r="Q427" s="176"/>
      <c r="R427" s="178"/>
      <c r="S427" s="167"/>
      <c r="T427" s="178"/>
      <c r="U427" s="2"/>
      <c r="V427" s="2"/>
      <c r="Y427" s="2"/>
    </row>
    <row r="428" spans="1:25" ht="57.35">
      <c r="A428" s="167" t="s">
        <v>75</v>
      </c>
      <c r="B428" s="167" t="s">
        <v>477</v>
      </c>
      <c r="C428" s="167" t="s">
        <v>464</v>
      </c>
      <c r="D428" s="172">
        <v>18466471.640521713</v>
      </c>
      <c r="E428" s="173" t="s">
        <v>485</v>
      </c>
      <c r="F428" s="173" t="s">
        <v>486</v>
      </c>
      <c r="G428" s="262" t="s">
        <v>936</v>
      </c>
      <c r="H428" s="173" t="s">
        <v>70</v>
      </c>
      <c r="I428" s="180" t="s">
        <v>244</v>
      </c>
      <c r="J428" s="173" t="s">
        <v>589</v>
      </c>
      <c r="K428" s="241">
        <v>39436</v>
      </c>
      <c r="L428" s="173"/>
      <c r="M428" s="262"/>
      <c r="N428" s="150">
        <f>1600/4</f>
        <v>400</v>
      </c>
      <c r="O428" s="461">
        <f>CompletedProjects[[#This Row],[Power Plant Size (MW) or Share]]*0.593*9057*211.9*10^(-9)</f>
        <v>0.45522909276000001</v>
      </c>
      <c r="P428" s="337">
        <f>CompletedProjects[[#This Row],[Annual Emissions (MMTCO2)]]*40</f>
        <v>18.209163710399999</v>
      </c>
      <c r="Q428" s="203"/>
      <c r="R428" s="167" t="s">
        <v>487</v>
      </c>
      <c r="S428" s="167"/>
      <c r="T428" s="167"/>
      <c r="U428" s="2"/>
      <c r="V428" s="2"/>
      <c r="Y428" s="2"/>
    </row>
    <row r="429" spans="1:25" ht="100.35">
      <c r="A429" s="167" t="s">
        <v>75</v>
      </c>
      <c r="B429" s="167" t="s">
        <v>511</v>
      </c>
      <c r="C429" s="167" t="s">
        <v>464</v>
      </c>
      <c r="D429" s="172">
        <f>46500000*'Dev Bank Share by Country'!$G$65</f>
        <v>2335842.2378987083</v>
      </c>
      <c r="E429" s="173" t="s">
        <v>423</v>
      </c>
      <c r="F429" s="173" t="s">
        <v>424</v>
      </c>
      <c r="G429" s="262" t="s">
        <v>774</v>
      </c>
      <c r="H429" s="173" t="s">
        <v>65</v>
      </c>
      <c r="I429" s="173" t="s">
        <v>284</v>
      </c>
      <c r="J429" s="173" t="s">
        <v>79</v>
      </c>
      <c r="K429" s="241">
        <v>39898</v>
      </c>
      <c r="L429" s="173" t="s">
        <v>920</v>
      </c>
      <c r="M429" s="273"/>
      <c r="N429" s="256"/>
      <c r="O429" s="461">
        <f>CompletedProjects[[#This Row],[Power Plant Size (MW) or Share]]*0.593*9057*211.9*10^(-9)</f>
        <v>0</v>
      </c>
      <c r="P429" s="337">
        <f>CompletedProjects[[#This Row],[Annual Emissions (MMTCO2)]]*40</f>
        <v>0</v>
      </c>
      <c r="Q429" s="167"/>
      <c r="R429" s="167" t="s">
        <v>400</v>
      </c>
      <c r="S429" s="167" t="s">
        <v>465</v>
      </c>
      <c r="T429" s="167"/>
      <c r="U429" s="2"/>
      <c r="V429" s="2"/>
      <c r="Y429" s="2"/>
    </row>
    <row r="430" spans="1:25" ht="71.7">
      <c r="A430" s="167" t="s">
        <v>75</v>
      </c>
      <c r="B430" s="186" t="s">
        <v>519</v>
      </c>
      <c r="C430" s="186" t="s">
        <v>464</v>
      </c>
      <c r="D430" s="172">
        <f>902850000*'Dev Bank Share by Country'!$K$65</f>
        <v>39102433.5</v>
      </c>
      <c r="E430" s="173" t="s">
        <v>91</v>
      </c>
      <c r="F430" s="173" t="s">
        <v>536</v>
      </c>
      <c r="G430" s="262"/>
      <c r="H430" s="173" t="s">
        <v>63</v>
      </c>
      <c r="I430" s="180" t="s">
        <v>283</v>
      </c>
      <c r="J430" s="173" t="s">
        <v>26</v>
      </c>
      <c r="K430" s="241">
        <v>40168</v>
      </c>
      <c r="L430" s="173" t="s">
        <v>1323</v>
      </c>
      <c r="M430" s="262"/>
      <c r="N430" s="337"/>
      <c r="O430" s="461">
        <f>CompletedProjects[[#This Row],[Power Plant Size (MW) or Share]]*0.593*9057*211.9*10^(-9)</f>
        <v>0</v>
      </c>
      <c r="P430" s="337">
        <f>CompletedProjects[[#This Row],[Annual Emissions (MMTCO2)]]*40</f>
        <v>0</v>
      </c>
      <c r="Q430" s="176"/>
      <c r="R430" s="178" t="s">
        <v>537</v>
      </c>
      <c r="S430" s="167"/>
      <c r="T430" s="178"/>
      <c r="U430" s="2"/>
      <c r="V430" s="2"/>
      <c r="Y430" s="2"/>
    </row>
    <row r="431" spans="1:25" ht="71.7">
      <c r="A431" s="167" t="s">
        <v>75</v>
      </c>
      <c r="B431" s="192" t="s">
        <v>34</v>
      </c>
      <c r="C431" s="171" t="s">
        <v>336</v>
      </c>
      <c r="D431" s="172">
        <v>148381397.09999999</v>
      </c>
      <c r="E431" s="173" t="s">
        <v>49</v>
      </c>
      <c r="F431" s="173" t="s">
        <v>50</v>
      </c>
      <c r="G431" s="263" t="s">
        <v>678</v>
      </c>
      <c r="H431" s="173" t="s">
        <v>51</v>
      </c>
      <c r="I431" s="173" t="s">
        <v>40</v>
      </c>
      <c r="J431" s="173" t="s">
        <v>40</v>
      </c>
      <c r="K431" s="241">
        <v>40057</v>
      </c>
      <c r="L431" s="173" t="s">
        <v>52</v>
      </c>
      <c r="M431" s="263"/>
      <c r="N431" s="465"/>
      <c r="O431" s="461">
        <f>CompletedProjects[[#This Row],[Power Plant Size (MW) or Share]]*0.593*9057*211.9*10^(-9)</f>
        <v>0</v>
      </c>
      <c r="P431" s="337">
        <f>CompletedProjects[[#This Row],[Annual Emissions (MMTCO2)]]*40</f>
        <v>0</v>
      </c>
      <c r="Q431" s="193"/>
      <c r="R431" s="192"/>
      <c r="S431" s="167"/>
      <c r="T431" s="192"/>
      <c r="U431" s="2"/>
      <c r="V431" s="2"/>
      <c r="Y431" s="2"/>
    </row>
    <row r="432" spans="1:25" ht="114.7">
      <c r="A432" s="167" t="s">
        <v>75</v>
      </c>
      <c r="B432" s="167" t="s">
        <v>511</v>
      </c>
      <c r="C432" s="167" t="s">
        <v>464</v>
      </c>
      <c r="D432" s="172">
        <f>275000000*'Dev Bank Share by Country'!$G$65</f>
        <v>13814120.761766555</v>
      </c>
      <c r="E432" s="173" t="s">
        <v>413</v>
      </c>
      <c r="F432" s="173" t="s">
        <v>413</v>
      </c>
      <c r="G432" s="262" t="s">
        <v>766</v>
      </c>
      <c r="H432" s="173" t="s">
        <v>95</v>
      </c>
      <c r="I432" s="180" t="s">
        <v>283</v>
      </c>
      <c r="J432" s="173" t="s">
        <v>277</v>
      </c>
      <c r="K432" s="241">
        <v>39394</v>
      </c>
      <c r="L432" s="173" t="s">
        <v>917</v>
      </c>
      <c r="M432" s="262"/>
      <c r="N432" s="256">
        <f>600/7/2</f>
        <v>42.857142857142854</v>
      </c>
      <c r="O432" s="461">
        <f>CompletedProjects[[#This Row],[Power Plant Size (MW) or Share]]*0.593*9057*211.9*10^(-9)</f>
        <v>4.8774545652857132E-2</v>
      </c>
      <c r="P432" s="337">
        <f>CompletedProjects[[#This Row],[Annual Emissions (MMTCO2)]]*40</f>
        <v>1.9509818261142853</v>
      </c>
      <c r="Q432" s="167"/>
      <c r="R432" s="167" t="s">
        <v>640</v>
      </c>
      <c r="S432" s="167" t="s">
        <v>465</v>
      </c>
      <c r="T432" s="167"/>
      <c r="U432" s="2"/>
      <c r="V432" s="2"/>
      <c r="Y432" s="2"/>
    </row>
    <row r="433" spans="1:25" ht="28.7">
      <c r="A433" s="173" t="s">
        <v>75</v>
      </c>
      <c r="B433" s="173" t="s">
        <v>509</v>
      </c>
      <c r="C433" s="173" t="s">
        <v>464</v>
      </c>
      <c r="D433" s="172">
        <v>5389674.9719612934</v>
      </c>
      <c r="E433" s="173" t="s">
        <v>429</v>
      </c>
      <c r="F433" s="173" t="s">
        <v>430</v>
      </c>
      <c r="G433" s="262" t="s">
        <v>928</v>
      </c>
      <c r="H433" s="173" t="s">
        <v>431</v>
      </c>
      <c r="I433" s="180" t="s">
        <v>283</v>
      </c>
      <c r="J433" s="173" t="s">
        <v>26</v>
      </c>
      <c r="K433" s="241">
        <v>40114</v>
      </c>
      <c r="L433" s="173"/>
      <c r="M433" s="262"/>
      <c r="N433" s="337">
        <f>600/15/2</f>
        <v>20</v>
      </c>
      <c r="O433" s="461">
        <f>CompletedProjects[[#This Row],[Power Plant Size (MW) or Share]]*0.593*9057*211.9*10^(-9)</f>
        <v>2.2761454637999997E-2</v>
      </c>
      <c r="P433" s="337">
        <f>CompletedProjects[[#This Row],[Annual Emissions (MMTCO2)]]*40</f>
        <v>0.91045818551999991</v>
      </c>
      <c r="Q433" s="176"/>
      <c r="R433" s="178" t="s">
        <v>467</v>
      </c>
      <c r="S433" s="167"/>
      <c r="T433" s="178"/>
      <c r="U433" s="2"/>
      <c r="V433" s="2"/>
      <c r="Y433" s="2"/>
    </row>
    <row r="434" spans="1:25" ht="28.7">
      <c r="A434" s="167" t="s">
        <v>75</v>
      </c>
      <c r="B434" s="171" t="s">
        <v>509</v>
      </c>
      <c r="C434" s="171" t="s">
        <v>464</v>
      </c>
      <c r="D434" s="172">
        <v>108901918.30563249</v>
      </c>
      <c r="E434" s="173" t="s">
        <v>41</v>
      </c>
      <c r="F434" s="173" t="s">
        <v>468</v>
      </c>
      <c r="G434" s="262" t="s">
        <v>927</v>
      </c>
      <c r="H434" s="173" t="s">
        <v>25</v>
      </c>
      <c r="I434" s="180" t="s">
        <v>283</v>
      </c>
      <c r="J434" s="173" t="s">
        <v>26</v>
      </c>
      <c r="K434" s="241">
        <v>40142</v>
      </c>
      <c r="L434" s="173"/>
      <c r="M434" s="262"/>
      <c r="N434" s="337">
        <f>4800/15/2</f>
        <v>160</v>
      </c>
      <c r="O434" s="461">
        <f>CompletedProjects[[#This Row],[Power Plant Size (MW) or Share]]*0.593*9057*211.9*10^(-9)</f>
        <v>0.18209163710399998</v>
      </c>
      <c r="P434" s="337">
        <f>CompletedProjects[[#This Row],[Annual Emissions (MMTCO2)]]*40</f>
        <v>7.2836654841599993</v>
      </c>
      <c r="Q434" s="176"/>
      <c r="R434" s="178" t="s">
        <v>642</v>
      </c>
      <c r="S434" s="167"/>
      <c r="T434" s="178"/>
      <c r="U434" s="2"/>
      <c r="V434" s="2"/>
      <c r="Y434" s="2"/>
    </row>
    <row r="435" spans="1:25" ht="43">
      <c r="A435" s="181" t="s">
        <v>75</v>
      </c>
      <c r="B435" s="182" t="s">
        <v>509</v>
      </c>
      <c r="C435" s="182" t="s">
        <v>464</v>
      </c>
      <c r="D435" s="172">
        <v>3413082.7071034596</v>
      </c>
      <c r="E435" s="173" t="s">
        <v>469</v>
      </c>
      <c r="F435" s="173" t="s">
        <v>516</v>
      </c>
      <c r="G435" s="262" t="s">
        <v>929</v>
      </c>
      <c r="H435" s="173" t="s">
        <v>458</v>
      </c>
      <c r="I435" s="180" t="s">
        <v>283</v>
      </c>
      <c r="J435" s="173" t="s">
        <v>26</v>
      </c>
      <c r="K435" s="241">
        <v>40142</v>
      </c>
      <c r="L435" s="173"/>
      <c r="M435" s="262"/>
      <c r="N435" s="150">
        <f>125/15</f>
        <v>8.3333333333333339</v>
      </c>
      <c r="O435" s="461">
        <f>CompletedProjects[[#This Row],[Power Plant Size (MW) or Share]]*0.593*9057*211.9*10^(-9)</f>
        <v>9.4839394324999996E-3</v>
      </c>
      <c r="P435" s="337">
        <f>CompletedProjects[[#This Row],[Annual Emissions (MMTCO2)]]*40</f>
        <v>0.37935757729999997</v>
      </c>
      <c r="Q435" s="203"/>
      <c r="R435" s="167" t="s">
        <v>470</v>
      </c>
      <c r="S435" s="167"/>
      <c r="T435" s="167" t="s">
        <v>537</v>
      </c>
      <c r="U435" s="2"/>
      <c r="V435" s="2"/>
      <c r="Y435" s="2"/>
    </row>
    <row r="436" spans="1:25" ht="43">
      <c r="A436" s="167" t="s">
        <v>75</v>
      </c>
      <c r="B436" s="171" t="s">
        <v>212</v>
      </c>
      <c r="C436" s="171" t="s">
        <v>337</v>
      </c>
      <c r="D436" s="172">
        <v>32982122.437199999</v>
      </c>
      <c r="E436" s="173" t="s">
        <v>47</v>
      </c>
      <c r="F436" s="173" t="s">
        <v>225</v>
      </c>
      <c r="G436" s="263" t="s">
        <v>727</v>
      </c>
      <c r="H436" s="173" t="s">
        <v>56</v>
      </c>
      <c r="I436" s="180" t="s">
        <v>283</v>
      </c>
      <c r="J436" s="173" t="s">
        <v>26</v>
      </c>
      <c r="K436" s="241">
        <v>40157</v>
      </c>
      <c r="L436" s="173" t="s">
        <v>246</v>
      </c>
      <c r="M436" s="262"/>
      <c r="N436" s="337"/>
      <c r="O436" s="461">
        <f>CompletedProjects[[#This Row],[Power Plant Size (MW) or Share]]*0.593*9057*211.9*10^(-9)</f>
        <v>0</v>
      </c>
      <c r="P436" s="337">
        <f>CompletedProjects[[#This Row],[Annual Emissions (MMTCO2)]]*40</f>
        <v>0</v>
      </c>
      <c r="Q436" s="176"/>
      <c r="R436" s="178"/>
      <c r="S436" s="167"/>
      <c r="T436" s="178"/>
      <c r="U436" s="2"/>
      <c r="V436" s="2"/>
      <c r="Y436" s="2"/>
    </row>
    <row r="437" spans="1:25" ht="57.35">
      <c r="A437" s="167" t="s">
        <v>75</v>
      </c>
      <c r="B437" s="192" t="s">
        <v>34</v>
      </c>
      <c r="C437" s="171" t="s">
        <v>336</v>
      </c>
      <c r="D437" s="172">
        <v>1023060767.3429999</v>
      </c>
      <c r="E437" s="173" t="s">
        <v>47</v>
      </c>
      <c r="F437" s="173" t="s">
        <v>53</v>
      </c>
      <c r="G437" s="263" t="s">
        <v>670</v>
      </c>
      <c r="H437" s="173" t="s">
        <v>25</v>
      </c>
      <c r="I437" s="180" t="s">
        <v>283</v>
      </c>
      <c r="J437" s="173" t="s">
        <v>26</v>
      </c>
      <c r="K437" s="241">
        <v>40158</v>
      </c>
      <c r="L437" s="174"/>
      <c r="M437" s="262" t="s">
        <v>656</v>
      </c>
      <c r="N437" s="337">
        <v>1600</v>
      </c>
      <c r="O437" s="461">
        <f>CompletedProjects[[#This Row],[Power Plant Size (MW) or Share]]*0.593*9057*211.9*10^(-9)</f>
        <v>1.82091637104</v>
      </c>
      <c r="P437" s="337">
        <f>CompletedProjects[[#This Row],[Annual Emissions (MMTCO2)]]*40</f>
        <v>72.836654841599994</v>
      </c>
      <c r="Q437" s="193"/>
      <c r="R437" s="178" t="s">
        <v>349</v>
      </c>
      <c r="S437" s="167"/>
      <c r="T437" s="178"/>
      <c r="U437" s="2"/>
      <c r="V437" s="2"/>
      <c r="Y437" s="2"/>
    </row>
    <row r="438" spans="1:25" ht="57.35">
      <c r="A438" s="167" t="s">
        <v>75</v>
      </c>
      <c r="B438" s="171" t="s">
        <v>519</v>
      </c>
      <c r="C438" s="171" t="s">
        <v>464</v>
      </c>
      <c r="D438" s="172">
        <f>450000000*'Dev Bank Share by Country'!$K$65</f>
        <v>19489500</v>
      </c>
      <c r="E438" s="183" t="s">
        <v>1395</v>
      </c>
      <c r="F438" s="183" t="s">
        <v>1393</v>
      </c>
      <c r="G438" s="262" t="s">
        <v>1394</v>
      </c>
      <c r="H438" s="183" t="s">
        <v>65</v>
      </c>
      <c r="I438" s="180" t="s">
        <v>283</v>
      </c>
      <c r="J438" s="183" t="s">
        <v>26</v>
      </c>
      <c r="K438" s="242">
        <v>39562</v>
      </c>
      <c r="L438" s="173" t="s">
        <v>525</v>
      </c>
      <c r="M438" s="262" t="s">
        <v>821</v>
      </c>
      <c r="N438" s="338">
        <f>4000/3/13</f>
        <v>102.56410256410255</v>
      </c>
      <c r="O438" s="461">
        <f>CompletedProjects[[#This Row],[Power Plant Size (MW) or Share]]*0.593*9057*211.9*10^(-9)</f>
        <v>0.11672540839999998</v>
      </c>
      <c r="P438" s="337">
        <f>CompletedProjects[[#This Row],[Annual Emissions (MMTCO2)]]*40</f>
        <v>4.6690163359999994</v>
      </c>
      <c r="Q438" s="176"/>
      <c r="R438" s="183" t="s">
        <v>1396</v>
      </c>
      <c r="S438" s="167"/>
      <c r="T438" s="183"/>
      <c r="U438" s="2"/>
      <c r="V438" s="2"/>
      <c r="Y438" s="2"/>
    </row>
    <row r="439" spans="1:25" ht="57.35">
      <c r="A439" s="167" t="s">
        <v>75</v>
      </c>
      <c r="B439" s="186" t="s">
        <v>519</v>
      </c>
      <c r="C439" s="186" t="s">
        <v>464</v>
      </c>
      <c r="D439" s="172"/>
      <c r="E439" s="173" t="s">
        <v>526</v>
      </c>
      <c r="F439" s="173" t="s">
        <v>527</v>
      </c>
      <c r="G439" s="174" t="s">
        <v>901</v>
      </c>
      <c r="H439" s="173" t="s">
        <v>95</v>
      </c>
      <c r="I439" s="180" t="s">
        <v>283</v>
      </c>
      <c r="J439" s="173" t="s">
        <v>277</v>
      </c>
      <c r="K439" s="241">
        <v>39601</v>
      </c>
      <c r="L439" s="172">
        <f>120000000*'Dev Bank Share by Country'!$K$65</f>
        <v>5197200</v>
      </c>
      <c r="M439" s="450"/>
      <c r="N439" s="337"/>
      <c r="O439" s="461">
        <f>CompletedProjects[[#This Row],[Power Plant Size (MW) or Share]]*0.593*9057*211.9*10^(-9)</f>
        <v>0</v>
      </c>
      <c r="P439" s="337">
        <f>CompletedProjects[[#This Row],[Annual Emissions (MMTCO2)]]*40</f>
        <v>0</v>
      </c>
      <c r="Q439" s="176"/>
      <c r="R439" s="178" t="s">
        <v>1321</v>
      </c>
      <c r="S439" s="167" t="s">
        <v>1688</v>
      </c>
      <c r="T439" s="178"/>
      <c r="U439" s="2"/>
      <c r="V439" s="2"/>
      <c r="Y439" s="2"/>
    </row>
    <row r="440" spans="1:25" ht="114.7">
      <c r="A440" s="167" t="s">
        <v>75</v>
      </c>
      <c r="B440" s="171" t="s">
        <v>212</v>
      </c>
      <c r="C440" s="171" t="s">
        <v>337</v>
      </c>
      <c r="D440" s="172">
        <v>200756787.26114649</v>
      </c>
      <c r="E440" s="173" t="s">
        <v>35</v>
      </c>
      <c r="F440" s="173" t="s">
        <v>35</v>
      </c>
      <c r="G440" s="262"/>
      <c r="H440" s="173" t="s">
        <v>35</v>
      </c>
      <c r="I440" s="173" t="s">
        <v>284</v>
      </c>
      <c r="J440" s="173" t="s">
        <v>1501</v>
      </c>
      <c r="K440" s="241">
        <v>40179</v>
      </c>
      <c r="L440" s="173" t="s">
        <v>885</v>
      </c>
      <c r="M440" s="262" t="s">
        <v>879</v>
      </c>
      <c r="N440" s="337"/>
      <c r="O440" s="461">
        <f>CompletedProjects[[#This Row],[Power Plant Size (MW) or Share]]*0.593*9057*211.9*10^(-9)</f>
        <v>0</v>
      </c>
      <c r="P440" s="337">
        <f>CompletedProjects[[#This Row],[Annual Emissions (MMTCO2)]]*40</f>
        <v>0</v>
      </c>
      <c r="Q440" s="176"/>
      <c r="R440" s="178"/>
      <c r="S440" s="167"/>
      <c r="T440" s="178"/>
      <c r="U440" s="2"/>
      <c r="V440" s="2"/>
      <c r="Y440" s="2"/>
    </row>
    <row r="441" spans="1:25" ht="114.7">
      <c r="A441" s="167" t="s">
        <v>75</v>
      </c>
      <c r="B441" s="171" t="s">
        <v>209</v>
      </c>
      <c r="C441" s="171" t="s">
        <v>337</v>
      </c>
      <c r="D441" s="172"/>
      <c r="E441" s="173" t="s">
        <v>226</v>
      </c>
      <c r="F441" s="173" t="s">
        <v>227</v>
      </c>
      <c r="G441" s="263" t="s">
        <v>743</v>
      </c>
      <c r="H441" s="173" t="s">
        <v>11</v>
      </c>
      <c r="I441" s="173" t="s">
        <v>40</v>
      </c>
      <c r="J441" s="173" t="s">
        <v>40</v>
      </c>
      <c r="K441" s="241">
        <v>40179</v>
      </c>
      <c r="L441" s="173" t="s">
        <v>850</v>
      </c>
      <c r="M441" s="262" t="s">
        <v>851</v>
      </c>
      <c r="N441" s="337"/>
      <c r="O441" s="461">
        <f>CompletedProjects[[#This Row],[Power Plant Size (MW) or Share]]*0.593*9057*211.9*10^(-9)</f>
        <v>0</v>
      </c>
      <c r="P441" s="337">
        <f>CompletedProjects[[#This Row],[Annual Emissions (MMTCO2)]]*40</f>
        <v>0</v>
      </c>
      <c r="Q441" s="176"/>
      <c r="R441" s="198"/>
      <c r="S441" s="167"/>
      <c r="T441" s="198"/>
      <c r="U441" s="2"/>
      <c r="V441" s="2"/>
      <c r="Y441" s="2"/>
    </row>
    <row r="442" spans="1:25" ht="28.7">
      <c r="A442" s="167" t="s">
        <v>75</v>
      </c>
      <c r="B442" s="171" t="s">
        <v>209</v>
      </c>
      <c r="C442" s="171" t="s">
        <v>337</v>
      </c>
      <c r="D442" s="172"/>
      <c r="E442" s="171" t="s">
        <v>35</v>
      </c>
      <c r="F442" s="173" t="s">
        <v>214</v>
      </c>
      <c r="G442" s="262"/>
      <c r="H442" s="173" t="s">
        <v>75</v>
      </c>
      <c r="I442" s="180" t="s">
        <v>283</v>
      </c>
      <c r="J442" s="173" t="s">
        <v>26</v>
      </c>
      <c r="K442" s="241">
        <v>40179</v>
      </c>
      <c r="L442" s="173"/>
      <c r="M442" s="263" t="s">
        <v>740</v>
      </c>
      <c r="N442" s="337"/>
      <c r="O442" s="461">
        <f>CompletedProjects[[#This Row],[Power Plant Size (MW) or Share]]*0.593*9057*211.9*10^(-9)</f>
        <v>0</v>
      </c>
      <c r="P442" s="337">
        <f>CompletedProjects[[#This Row],[Annual Emissions (MMTCO2)]]*40</f>
        <v>0</v>
      </c>
      <c r="Q442" s="176"/>
      <c r="R442" s="223"/>
      <c r="S442" s="167"/>
      <c r="T442" s="223"/>
      <c r="U442" s="2"/>
      <c r="V442" s="2"/>
      <c r="Y442" s="2"/>
    </row>
    <row r="443" spans="1:25" ht="28.7">
      <c r="A443" s="167" t="s">
        <v>75</v>
      </c>
      <c r="B443" s="171" t="s">
        <v>212</v>
      </c>
      <c r="C443" s="171" t="s">
        <v>337</v>
      </c>
      <c r="D443" s="172"/>
      <c r="E443" s="171" t="s">
        <v>35</v>
      </c>
      <c r="F443" s="173" t="s">
        <v>307</v>
      </c>
      <c r="G443" s="263"/>
      <c r="H443" s="173" t="s">
        <v>75</v>
      </c>
      <c r="I443" s="180" t="s">
        <v>283</v>
      </c>
      <c r="J443" s="173" t="s">
        <v>277</v>
      </c>
      <c r="K443" s="241">
        <v>40179</v>
      </c>
      <c r="L443" s="173" t="s">
        <v>249</v>
      </c>
      <c r="M443" s="262" t="s">
        <v>747</v>
      </c>
      <c r="N443" s="337">
        <v>911</v>
      </c>
      <c r="O443" s="461">
        <f>CompletedProjects[[#This Row],[Power Plant Size (MW) or Share]]*0.593*9057*211.9*10^(-9)</f>
        <v>1.0367842587609</v>
      </c>
      <c r="P443" s="337">
        <f>CompletedProjects[[#This Row],[Annual Emissions (MMTCO2)]]*40</f>
        <v>41.471370350435997</v>
      </c>
      <c r="Q443" s="176"/>
      <c r="R443" s="178"/>
      <c r="S443" s="167"/>
      <c r="T443" s="178"/>
      <c r="U443" s="2"/>
      <c r="V443" s="2"/>
      <c r="Y443" s="2"/>
    </row>
    <row r="444" spans="1:25" ht="28.7">
      <c r="A444" s="167" t="s">
        <v>75</v>
      </c>
      <c r="B444" s="171" t="s">
        <v>212</v>
      </c>
      <c r="C444" s="171" t="s">
        <v>337</v>
      </c>
      <c r="D444" s="172"/>
      <c r="E444" s="173" t="s">
        <v>250</v>
      </c>
      <c r="F444" s="173" t="s">
        <v>308</v>
      </c>
      <c r="G444" s="263" t="s">
        <v>744</v>
      </c>
      <c r="H444" s="173" t="s">
        <v>65</v>
      </c>
      <c r="I444" s="173" t="s">
        <v>284</v>
      </c>
      <c r="J444" s="173" t="s">
        <v>254</v>
      </c>
      <c r="K444" s="241">
        <v>40179</v>
      </c>
      <c r="L444" s="173"/>
      <c r="M444" s="262"/>
      <c r="N444" s="337"/>
      <c r="O444" s="461">
        <f>CompletedProjects[[#This Row],[Power Plant Size (MW) or Share]]*0.593*9057*211.9*10^(-9)</f>
        <v>0</v>
      </c>
      <c r="P444" s="337">
        <f>CompletedProjects[[#This Row],[Annual Emissions (MMTCO2)]]*40</f>
        <v>0</v>
      </c>
      <c r="Q444" s="176"/>
      <c r="R444" s="178"/>
      <c r="S444" s="167"/>
      <c r="T444" s="178"/>
      <c r="U444" s="2"/>
      <c r="V444" s="2"/>
      <c r="Y444" s="2"/>
    </row>
    <row r="445" spans="1:25" ht="43">
      <c r="A445" s="181" t="s">
        <v>75</v>
      </c>
      <c r="B445" s="182" t="s">
        <v>559</v>
      </c>
      <c r="C445" s="182" t="s">
        <v>464</v>
      </c>
      <c r="D445" s="172">
        <v>2690146.8494751859</v>
      </c>
      <c r="E445" s="173" t="s">
        <v>588</v>
      </c>
      <c r="F445" s="173" t="s">
        <v>588</v>
      </c>
      <c r="G445" s="265" t="s">
        <v>793</v>
      </c>
      <c r="H445" s="173" t="s">
        <v>201</v>
      </c>
      <c r="I445" s="173" t="s">
        <v>40</v>
      </c>
      <c r="J445" s="173" t="s">
        <v>40</v>
      </c>
      <c r="K445" s="240">
        <v>39422</v>
      </c>
      <c r="L445" s="167" t="s">
        <v>905</v>
      </c>
      <c r="M445" s="262"/>
      <c r="N445" s="337"/>
      <c r="O445" s="461">
        <f>CompletedProjects[[#This Row],[Power Plant Size (MW) or Share]]*0.593*9057*211.9*10^(-9)</f>
        <v>0</v>
      </c>
      <c r="P445" s="337">
        <f>CompletedProjects[[#This Row],[Annual Emissions (MMTCO2)]]*40</f>
        <v>0</v>
      </c>
      <c r="Q445" s="176"/>
      <c r="R445" s="178" t="s">
        <v>537</v>
      </c>
      <c r="S445" s="167"/>
      <c r="T445" s="178"/>
      <c r="U445" s="2"/>
      <c r="V445" s="2"/>
      <c r="Y445" s="2"/>
    </row>
    <row r="446" spans="1:25" ht="71.7">
      <c r="A446" s="167" t="s">
        <v>75</v>
      </c>
      <c r="B446" s="192" t="s">
        <v>34</v>
      </c>
      <c r="C446" s="171" t="s">
        <v>336</v>
      </c>
      <c r="D446" s="172">
        <v>757438526.63520002</v>
      </c>
      <c r="E446" s="173" t="s">
        <v>54</v>
      </c>
      <c r="F446" s="173" t="s">
        <v>55</v>
      </c>
      <c r="G446" s="262" t="s">
        <v>702</v>
      </c>
      <c r="H446" s="173" t="s">
        <v>56</v>
      </c>
      <c r="I446" s="180" t="s">
        <v>283</v>
      </c>
      <c r="J446" s="173" t="s">
        <v>277</v>
      </c>
      <c r="K446" s="241">
        <v>40210</v>
      </c>
      <c r="L446" s="173" t="s">
        <v>57</v>
      </c>
      <c r="M446" s="262"/>
      <c r="N446" s="465"/>
      <c r="O446" s="461">
        <f>CompletedProjects[[#This Row],[Power Plant Size (MW) or Share]]*0.593*9057*211.9*10^(-9)</f>
        <v>0</v>
      </c>
      <c r="P446" s="337">
        <f>CompletedProjects[[#This Row],[Annual Emissions (MMTCO2)]]*40</f>
        <v>0</v>
      </c>
      <c r="Q446" s="193"/>
      <c r="R446" s="198"/>
      <c r="S446" s="167"/>
      <c r="T446" s="198"/>
      <c r="U446" s="2"/>
      <c r="V446" s="2"/>
      <c r="Y446" s="2"/>
    </row>
    <row r="447" spans="1:25" ht="43">
      <c r="A447" s="167" t="s">
        <v>75</v>
      </c>
      <c r="B447" s="167" t="s">
        <v>477</v>
      </c>
      <c r="C447" s="194" t="s">
        <v>464</v>
      </c>
      <c r="D447" s="172">
        <v>13723740.742281655</v>
      </c>
      <c r="E447" s="173" t="s">
        <v>495</v>
      </c>
      <c r="F447" s="173" t="s">
        <v>496</v>
      </c>
      <c r="G447" s="262" t="s">
        <v>941</v>
      </c>
      <c r="H447" s="173" t="s">
        <v>493</v>
      </c>
      <c r="I447" s="180" t="s">
        <v>283</v>
      </c>
      <c r="J447" s="173" t="s">
        <v>26</v>
      </c>
      <c r="K447" s="241">
        <v>40218</v>
      </c>
      <c r="L447" s="173"/>
      <c r="M447" s="262" t="s">
        <v>942</v>
      </c>
      <c r="N447" s="256">
        <f>(36+165)/4</f>
        <v>50.25</v>
      </c>
      <c r="O447" s="461">
        <f>CompletedProjects[[#This Row],[Power Plant Size (MW) or Share]]*0.593*9057*211.9*10^(-9)</f>
        <v>5.7188154777975002E-2</v>
      </c>
      <c r="P447" s="337">
        <f>CompletedProjects[[#This Row],[Annual Emissions (MMTCO2)]]*40</f>
        <v>2.2875261911189999</v>
      </c>
      <c r="Q447" s="204"/>
      <c r="R447" s="167" t="s">
        <v>497</v>
      </c>
      <c r="S447" s="167"/>
      <c r="T447" s="167"/>
      <c r="U447" s="2"/>
      <c r="V447" s="2"/>
      <c r="Y447" s="2"/>
    </row>
    <row r="448" spans="1:25" ht="172">
      <c r="A448" s="167" t="s">
        <v>75</v>
      </c>
      <c r="B448" s="167" t="s">
        <v>512</v>
      </c>
      <c r="C448" s="167" t="s">
        <v>464</v>
      </c>
      <c r="D448" s="172">
        <f>11250000*'Dev Bank Share by Country'!$E$65</f>
        <v>616107.24364239164</v>
      </c>
      <c r="E448" s="173" t="s">
        <v>270</v>
      </c>
      <c r="F448" s="173" t="s">
        <v>433</v>
      </c>
      <c r="G448" s="262" t="s">
        <v>767</v>
      </c>
      <c r="H448" s="173" t="s">
        <v>201</v>
      </c>
      <c r="I448" s="173" t="s">
        <v>40</v>
      </c>
      <c r="J448" s="173" t="s">
        <v>417</v>
      </c>
      <c r="K448" s="241">
        <v>40673</v>
      </c>
      <c r="L448" s="173" t="s">
        <v>828</v>
      </c>
      <c r="M448" s="273" t="s">
        <v>827</v>
      </c>
      <c r="N448" s="256"/>
      <c r="O448" s="461">
        <f>CompletedProjects[[#This Row],[Power Plant Size (MW) or Share]]*0.593*9057*211.9*10^(-9)</f>
        <v>0</v>
      </c>
      <c r="P448" s="337">
        <f>CompletedProjects[[#This Row],[Annual Emissions (MMTCO2)]]*40</f>
        <v>0</v>
      </c>
      <c r="Q448" s="167"/>
      <c r="R448" s="167" t="s">
        <v>400</v>
      </c>
      <c r="S448" s="167" t="s">
        <v>465</v>
      </c>
      <c r="T448" s="167"/>
      <c r="U448" s="2"/>
      <c r="V448" s="2"/>
      <c r="Y448" s="2"/>
    </row>
    <row r="449" spans="1:25" ht="28.7">
      <c r="A449" s="167" t="s">
        <v>75</v>
      </c>
      <c r="B449" s="167" t="s">
        <v>477</v>
      </c>
      <c r="C449" s="194" t="s">
        <v>464</v>
      </c>
      <c r="D449" s="172">
        <v>14325511.997638566</v>
      </c>
      <c r="E449" s="173" t="s">
        <v>501</v>
      </c>
      <c r="F449" s="173" t="s">
        <v>502</v>
      </c>
      <c r="G449" s="262" t="s">
        <v>944</v>
      </c>
      <c r="H449" s="173" t="s">
        <v>493</v>
      </c>
      <c r="I449" s="180" t="s">
        <v>283</v>
      </c>
      <c r="J449" s="173" t="s">
        <v>26</v>
      </c>
      <c r="K449" s="241">
        <v>40840</v>
      </c>
      <c r="L449" s="173"/>
      <c r="M449" s="262"/>
      <c r="N449" s="256">
        <f>(50+106)/4</f>
        <v>39</v>
      </c>
      <c r="O449" s="461">
        <f>CompletedProjects[[#This Row],[Power Plant Size (MW) or Share]]*0.593*9057*211.9*10^(-9)</f>
        <v>4.4384836544100005E-2</v>
      </c>
      <c r="P449" s="337">
        <f>CompletedProjects[[#This Row],[Annual Emissions (MMTCO2)]]*40</f>
        <v>1.7753934617640001</v>
      </c>
      <c r="Q449" s="204"/>
      <c r="R449" s="167" t="s">
        <v>503</v>
      </c>
      <c r="S449" s="167"/>
      <c r="T449" s="167"/>
      <c r="U449" s="2"/>
      <c r="V449" s="2"/>
      <c r="Y449" s="2"/>
    </row>
    <row r="450" spans="1:25" ht="71.7">
      <c r="A450" s="181" t="s">
        <v>75</v>
      </c>
      <c r="B450" s="182" t="s">
        <v>559</v>
      </c>
      <c r="C450" s="182" t="s">
        <v>464</v>
      </c>
      <c r="D450" s="172">
        <v>7311834.7986874059</v>
      </c>
      <c r="E450" s="173" t="s">
        <v>591</v>
      </c>
      <c r="F450" s="173" t="s">
        <v>590</v>
      </c>
      <c r="G450" s="265" t="s">
        <v>794</v>
      </c>
      <c r="H450" s="173" t="s">
        <v>45</v>
      </c>
      <c r="I450" s="180" t="s">
        <v>283</v>
      </c>
      <c r="J450" s="173" t="s">
        <v>277</v>
      </c>
      <c r="K450" s="240">
        <v>39553</v>
      </c>
      <c r="L450" s="173" t="s">
        <v>906</v>
      </c>
      <c r="M450" s="262"/>
      <c r="N450" s="337"/>
      <c r="O450" s="461">
        <f>CompletedProjects[[#This Row],[Power Plant Size (MW) or Share]]*0.593*9057*211.9*10^(-9)</f>
        <v>0</v>
      </c>
      <c r="P450" s="337">
        <f>CompletedProjects[[#This Row],[Annual Emissions (MMTCO2)]]*40</f>
        <v>0</v>
      </c>
      <c r="Q450" s="176"/>
      <c r="R450" s="178"/>
      <c r="S450" s="167"/>
      <c r="T450" s="178"/>
      <c r="U450" s="2"/>
      <c r="V450" s="2"/>
      <c r="Y450" s="2"/>
    </row>
    <row r="451" spans="1:25" ht="71.7">
      <c r="A451" s="167" t="s">
        <v>75</v>
      </c>
      <c r="B451" s="192" t="s">
        <v>34</v>
      </c>
      <c r="C451" s="171" t="s">
        <v>336</v>
      </c>
      <c r="D451" s="172">
        <v>19559822.048999999</v>
      </c>
      <c r="E451" s="173" t="s">
        <v>58</v>
      </c>
      <c r="F451" s="173" t="s">
        <v>200</v>
      </c>
      <c r="G451" s="262" t="s">
        <v>707</v>
      </c>
      <c r="H451" s="173" t="s">
        <v>45</v>
      </c>
      <c r="I451" s="173" t="s">
        <v>40</v>
      </c>
      <c r="J451" s="173" t="s">
        <v>40</v>
      </c>
      <c r="K451" s="241">
        <v>40483</v>
      </c>
      <c r="L451" s="173" t="s">
        <v>59</v>
      </c>
      <c r="M451" s="262"/>
      <c r="N451" s="465"/>
      <c r="O451" s="461">
        <f>CompletedProjects[[#This Row],[Power Plant Size (MW) or Share]]*0.593*9057*211.9*10^(-9)</f>
        <v>0</v>
      </c>
      <c r="P451" s="337">
        <f>CompletedProjects[[#This Row],[Annual Emissions (MMTCO2)]]*40</f>
        <v>0</v>
      </c>
      <c r="Q451" s="193"/>
      <c r="R451" s="198"/>
      <c r="S451" s="167"/>
      <c r="T451" s="198"/>
      <c r="U451" s="2"/>
      <c r="V451" s="2"/>
      <c r="Y451" s="2"/>
    </row>
    <row r="452" spans="1:25" ht="143.35">
      <c r="A452" s="167" t="s">
        <v>75</v>
      </c>
      <c r="B452" s="171" t="s">
        <v>209</v>
      </c>
      <c r="C452" s="171" t="s">
        <v>337</v>
      </c>
      <c r="D452" s="172"/>
      <c r="E452" s="171" t="s">
        <v>35</v>
      </c>
      <c r="F452" s="173" t="s">
        <v>229</v>
      </c>
      <c r="G452" s="263" t="s">
        <v>745</v>
      </c>
      <c r="H452" s="173" t="s">
        <v>11</v>
      </c>
      <c r="I452" s="173" t="s">
        <v>40</v>
      </c>
      <c r="J452" s="173" t="s">
        <v>40</v>
      </c>
      <c r="K452" s="240">
        <v>40544</v>
      </c>
      <c r="L452" s="173" t="s">
        <v>855</v>
      </c>
      <c r="M452" s="263" t="s">
        <v>856</v>
      </c>
      <c r="N452" s="337"/>
      <c r="O452" s="461">
        <f>CompletedProjects[[#This Row],[Power Plant Size (MW) or Share]]*0.593*9057*211.9*10^(-9)</f>
        <v>0</v>
      </c>
      <c r="P452" s="337">
        <f>CompletedProjects[[#This Row],[Annual Emissions (MMTCO2)]]*40</f>
        <v>0</v>
      </c>
      <c r="Q452" s="176"/>
      <c r="R452" s="199"/>
      <c r="S452" s="167"/>
      <c r="T452" s="199"/>
      <c r="U452" s="2"/>
      <c r="V452" s="2"/>
      <c r="Y452" s="2"/>
    </row>
    <row r="453" spans="1:25" ht="43">
      <c r="A453" s="181" t="s">
        <v>75</v>
      </c>
      <c r="B453" s="182" t="s">
        <v>559</v>
      </c>
      <c r="C453" s="182" t="s">
        <v>464</v>
      </c>
      <c r="D453" s="172"/>
      <c r="E453" s="173" t="s">
        <v>611</v>
      </c>
      <c r="F453" s="173" t="s">
        <v>612</v>
      </c>
      <c r="G453" s="262" t="s">
        <v>804</v>
      </c>
      <c r="H453" s="173" t="s">
        <v>613</v>
      </c>
      <c r="I453" s="180" t="s">
        <v>283</v>
      </c>
      <c r="J453" s="173" t="s">
        <v>277</v>
      </c>
      <c r="K453" s="240">
        <v>39814</v>
      </c>
      <c r="L453" s="197"/>
      <c r="M453" s="262"/>
      <c r="N453" s="337"/>
      <c r="O453" s="461">
        <f>CompletedProjects[[#This Row],[Power Plant Size (MW) or Share]]*0.593*9057*211.9*10^(-9)</f>
        <v>0</v>
      </c>
      <c r="P453" s="337">
        <f>CompletedProjects[[#This Row],[Annual Emissions (MMTCO2)]]*40</f>
        <v>0</v>
      </c>
      <c r="Q453" s="176"/>
      <c r="R453" s="173" t="s">
        <v>914</v>
      </c>
      <c r="S453" s="167" t="s">
        <v>1688</v>
      </c>
      <c r="T453" s="173"/>
      <c r="U453" s="2"/>
      <c r="V453" s="2"/>
      <c r="Y453" s="2"/>
    </row>
    <row r="454" spans="1:25" ht="71.7">
      <c r="A454" s="167" t="s">
        <v>75</v>
      </c>
      <c r="B454" s="192" t="s">
        <v>34</v>
      </c>
      <c r="C454" s="171" t="s">
        <v>336</v>
      </c>
      <c r="D454" s="172">
        <v>68560472.829999998</v>
      </c>
      <c r="E454" s="173" t="s">
        <v>58</v>
      </c>
      <c r="F454" s="173" t="s">
        <v>60</v>
      </c>
      <c r="G454" s="263" t="s">
        <v>697</v>
      </c>
      <c r="H454" s="173" t="s">
        <v>11</v>
      </c>
      <c r="I454" s="173" t="s">
        <v>40</v>
      </c>
      <c r="J454" s="173" t="s">
        <v>40</v>
      </c>
      <c r="K454" s="247">
        <v>40544</v>
      </c>
      <c r="L454" s="173" t="s">
        <v>810</v>
      </c>
      <c r="M454" s="262"/>
      <c r="N454" s="465"/>
      <c r="O454" s="461">
        <f>CompletedProjects[[#This Row],[Power Plant Size (MW) or Share]]*0.593*9057*211.9*10^(-9)</f>
        <v>0</v>
      </c>
      <c r="P454" s="337">
        <f>CompletedProjects[[#This Row],[Annual Emissions (MMTCO2)]]*40</f>
        <v>0</v>
      </c>
      <c r="Q454" s="193"/>
      <c r="R454" s="198"/>
      <c r="S454" s="167"/>
      <c r="T454" s="198"/>
      <c r="U454" s="30"/>
    </row>
    <row r="455" spans="1:25" s="83" customFormat="1" ht="71.7">
      <c r="A455" s="181" t="s">
        <v>75</v>
      </c>
      <c r="B455" s="182" t="s">
        <v>559</v>
      </c>
      <c r="C455" s="182" t="s">
        <v>464</v>
      </c>
      <c r="D455" s="172">
        <v>4974929.1051938375</v>
      </c>
      <c r="E455" s="173" t="s">
        <v>604</v>
      </c>
      <c r="F455" s="173" t="s">
        <v>605</v>
      </c>
      <c r="G455" s="262" t="s">
        <v>802</v>
      </c>
      <c r="H455" s="173" t="s">
        <v>493</v>
      </c>
      <c r="I455" s="180" t="s">
        <v>283</v>
      </c>
      <c r="J455" s="173" t="s">
        <v>277</v>
      </c>
      <c r="K455" s="240">
        <v>40589</v>
      </c>
      <c r="L455" s="173" t="s">
        <v>1693</v>
      </c>
      <c r="M455" s="262"/>
      <c r="N455" s="337">
        <f>154/12</f>
        <v>12.833333333333334</v>
      </c>
      <c r="O455" s="461">
        <f>CompletedProjects[[#This Row],[Power Plant Size (MW) or Share]]*0.593*9057*211.9*10^(-9)</f>
        <v>1.460526672605E-2</v>
      </c>
      <c r="P455" s="337">
        <f>CompletedProjects[[#This Row],[Annual Emissions (MMTCO2)]]*40</f>
        <v>0.58421066904200003</v>
      </c>
      <c r="Q455" s="176"/>
      <c r="R455" s="178" t="s">
        <v>537</v>
      </c>
      <c r="S455" s="167"/>
      <c r="T455" s="178"/>
    </row>
    <row r="456" spans="1:25" s="83" customFormat="1" ht="43">
      <c r="A456" s="181" t="s">
        <v>75</v>
      </c>
      <c r="B456" s="182" t="s">
        <v>559</v>
      </c>
      <c r="C456" s="182" t="s">
        <v>464</v>
      </c>
      <c r="D456" s="172">
        <v>3163317.8843691777</v>
      </c>
      <c r="E456" s="173" t="s">
        <v>587</v>
      </c>
      <c r="F456" s="173" t="s">
        <v>587</v>
      </c>
      <c r="G456" s="262" t="s">
        <v>792</v>
      </c>
      <c r="H456" s="173" t="s">
        <v>39</v>
      </c>
      <c r="I456" s="180" t="s">
        <v>283</v>
      </c>
      <c r="J456" s="173" t="s">
        <v>277</v>
      </c>
      <c r="K456" s="240">
        <v>39415</v>
      </c>
      <c r="L456" s="167" t="s">
        <v>904</v>
      </c>
      <c r="M456" s="262"/>
      <c r="N456" s="338">
        <f>550/12</f>
        <v>45.833333333333336</v>
      </c>
      <c r="O456" s="461">
        <f>CompletedProjects[[#This Row],[Power Plant Size (MW) or Share]]*0.593*9057*211.9*10^(-9)</f>
        <v>5.2161666878750006E-2</v>
      </c>
      <c r="P456" s="337">
        <f>CompletedProjects[[#This Row],[Annual Emissions (MMTCO2)]]*40</f>
        <v>2.0864666751500001</v>
      </c>
      <c r="Q456" s="176"/>
      <c r="R456" s="178" t="s">
        <v>537</v>
      </c>
      <c r="S456" s="167"/>
      <c r="T456" s="178"/>
    </row>
    <row r="457" spans="1:25" s="83" customFormat="1" ht="57.35">
      <c r="A457" s="181" t="s">
        <v>75</v>
      </c>
      <c r="B457" s="182" t="s">
        <v>445</v>
      </c>
      <c r="C457" s="182" t="s">
        <v>464</v>
      </c>
      <c r="D457" s="172">
        <f>450000000*'Dev Bank Share by Country'!$G$65</f>
        <v>22604924.882890727</v>
      </c>
      <c r="E457" s="183" t="s">
        <v>1395</v>
      </c>
      <c r="F457" s="183" t="s">
        <v>1393</v>
      </c>
      <c r="G457" s="267" t="s">
        <v>1394</v>
      </c>
      <c r="H457" s="183" t="s">
        <v>65</v>
      </c>
      <c r="I457" s="180" t="s">
        <v>283</v>
      </c>
      <c r="J457" s="183" t="s">
        <v>26</v>
      </c>
      <c r="K457" s="242">
        <v>39562</v>
      </c>
      <c r="L457" s="183" t="s">
        <v>1396</v>
      </c>
      <c r="M457" s="262" t="s">
        <v>768</v>
      </c>
      <c r="N457" s="338">
        <f>4000/3/20</f>
        <v>66.666666666666657</v>
      </c>
      <c r="O457" s="461">
        <f>CompletedProjects[[#This Row],[Power Plant Size (MW) or Share]]*0.593*9057*211.9*10^(-9)</f>
        <v>7.5871515459999983E-2</v>
      </c>
      <c r="P457" s="337">
        <f>CompletedProjects[[#This Row],[Annual Emissions (MMTCO2)]]*40</f>
        <v>3.0348606183999993</v>
      </c>
      <c r="Q457" s="169"/>
      <c r="R457" s="185"/>
      <c r="S457" s="181"/>
      <c r="T457" s="185"/>
    </row>
    <row r="458" spans="1:25" s="83" customFormat="1" ht="86">
      <c r="A458" s="167" t="s">
        <v>75</v>
      </c>
      <c r="B458" s="186" t="s">
        <v>519</v>
      </c>
      <c r="C458" s="186" t="s">
        <v>464</v>
      </c>
      <c r="D458" s="172">
        <f>200000*'Dev Bank Share by Country'!$K$65</f>
        <v>8662</v>
      </c>
      <c r="E458" s="173" t="s">
        <v>528</v>
      </c>
      <c r="F458" s="173" t="s">
        <v>529</v>
      </c>
      <c r="G458" s="262"/>
      <c r="H458" s="173" t="s">
        <v>239</v>
      </c>
      <c r="I458" s="180" t="s">
        <v>283</v>
      </c>
      <c r="J458" s="173" t="s">
        <v>26</v>
      </c>
      <c r="K458" s="241">
        <v>39729</v>
      </c>
      <c r="L458" s="183" t="s">
        <v>1709</v>
      </c>
      <c r="M458" s="262"/>
      <c r="N458" s="337"/>
      <c r="O458" s="461">
        <f>CompletedProjects[[#This Row],[Power Plant Size (MW) or Share]]*0.593*9057*211.9*10^(-9)</f>
        <v>0</v>
      </c>
      <c r="P458" s="337">
        <f>CompletedProjects[[#This Row],[Annual Emissions (MMTCO2)]]*40</f>
        <v>0</v>
      </c>
      <c r="Q458" s="176"/>
      <c r="R458" s="178" t="s">
        <v>530</v>
      </c>
      <c r="S458" s="167"/>
      <c r="T458" s="178"/>
    </row>
    <row r="459" spans="1:25" s="83" customFormat="1" ht="100.35">
      <c r="A459" s="167" t="s">
        <v>75</v>
      </c>
      <c r="B459" s="192" t="s">
        <v>34</v>
      </c>
      <c r="C459" s="171" t="s">
        <v>336</v>
      </c>
      <c r="D459" s="172">
        <v>20908530.4005</v>
      </c>
      <c r="E459" s="173" t="s">
        <v>61</v>
      </c>
      <c r="F459" s="173" t="s">
        <v>62</v>
      </c>
      <c r="G459" s="262" t="s">
        <v>655</v>
      </c>
      <c r="H459" s="173" t="s">
        <v>63</v>
      </c>
      <c r="I459" s="180" t="s">
        <v>283</v>
      </c>
      <c r="J459" s="173" t="s">
        <v>26</v>
      </c>
      <c r="K459" s="240">
        <v>40817</v>
      </c>
      <c r="L459" s="173" t="s">
        <v>292</v>
      </c>
      <c r="M459" s="262" t="s">
        <v>653</v>
      </c>
      <c r="N459" s="337">
        <v>600</v>
      </c>
      <c r="O459" s="461">
        <f>CompletedProjects[[#This Row],[Power Plant Size (MW) or Share]]*0.593*9057*211.9*10^(-9)</f>
        <v>0.68284363914000001</v>
      </c>
      <c r="P459" s="337">
        <f>CompletedProjects[[#This Row],[Annual Emissions (MMTCO2)]]*40</f>
        <v>27.313745565600001</v>
      </c>
      <c r="Q459" s="176"/>
      <c r="R459" s="178" t="s">
        <v>351</v>
      </c>
      <c r="S459" s="167"/>
      <c r="T459" s="178"/>
    </row>
    <row r="460" spans="1:25" s="83" customFormat="1" ht="28.7">
      <c r="A460" s="167" t="s">
        <v>75</v>
      </c>
      <c r="B460" s="167" t="s">
        <v>477</v>
      </c>
      <c r="C460" s="194" t="s">
        <v>464</v>
      </c>
      <c r="D460" s="172">
        <v>92899168.101598889</v>
      </c>
      <c r="E460" s="173" t="s">
        <v>498</v>
      </c>
      <c r="F460" s="173" t="s">
        <v>499</v>
      </c>
      <c r="G460" s="262" t="s">
        <v>943</v>
      </c>
      <c r="H460" s="173" t="s">
        <v>481</v>
      </c>
      <c r="I460" s="180" t="s">
        <v>283</v>
      </c>
      <c r="J460" s="173" t="s">
        <v>26</v>
      </c>
      <c r="K460" s="241">
        <v>40290</v>
      </c>
      <c r="L460" s="173" t="s">
        <v>500</v>
      </c>
      <c r="M460" s="262"/>
      <c r="N460" s="256"/>
      <c r="O460" s="461">
        <f>CompletedProjects[[#This Row],[Power Plant Size (MW) or Share]]*0.593*9057*211.9*10^(-9)</f>
        <v>0</v>
      </c>
      <c r="P460" s="337">
        <f>CompletedProjects[[#This Row],[Annual Emissions (MMTCO2)]]*40</f>
        <v>0</v>
      </c>
      <c r="Q460" s="204"/>
      <c r="R460" s="167"/>
      <c r="S460" s="167"/>
      <c r="T460" s="167"/>
    </row>
    <row r="461" spans="1:25" s="83" customFormat="1" ht="86">
      <c r="A461" s="167" t="s">
        <v>75</v>
      </c>
      <c r="B461" s="167" t="s">
        <v>477</v>
      </c>
      <c r="C461" s="167" t="s">
        <v>464</v>
      </c>
      <c r="D461" s="172">
        <v>25070873.909512851</v>
      </c>
      <c r="E461" s="173" t="s">
        <v>480</v>
      </c>
      <c r="F461" s="173" t="s">
        <v>518</v>
      </c>
      <c r="G461" s="262" t="s">
        <v>933</v>
      </c>
      <c r="H461" s="173" t="s">
        <v>481</v>
      </c>
      <c r="I461" s="180" t="s">
        <v>283</v>
      </c>
      <c r="J461" s="173" t="s">
        <v>26</v>
      </c>
      <c r="K461" s="241">
        <v>39352</v>
      </c>
      <c r="L461" s="173"/>
      <c r="M461" s="262" t="s">
        <v>934</v>
      </c>
      <c r="N461" s="150">
        <f>(600+120)/4</f>
        <v>180</v>
      </c>
      <c r="O461" s="461">
        <f>CompletedProjects[[#This Row],[Power Plant Size (MW) or Share]]*0.593*9057*211.9*10^(-9)</f>
        <v>0.204853091742</v>
      </c>
      <c r="P461" s="337">
        <f>CompletedProjects[[#This Row],[Annual Emissions (MMTCO2)]]*40</f>
        <v>8.1941236696799997</v>
      </c>
      <c r="Q461" s="203"/>
      <c r="R461" s="167" t="s">
        <v>474</v>
      </c>
      <c r="S461" s="167"/>
      <c r="T461" s="167"/>
    </row>
    <row r="462" spans="1:25" s="83" customFormat="1" ht="43">
      <c r="A462" s="167" t="s">
        <v>75</v>
      </c>
      <c r="B462" s="192" t="s">
        <v>34</v>
      </c>
      <c r="C462" s="171" t="s">
        <v>336</v>
      </c>
      <c r="D462" s="172">
        <v>176200000</v>
      </c>
      <c r="E462" s="173" t="s">
        <v>35</v>
      </c>
      <c r="F462" s="173" t="s">
        <v>67</v>
      </c>
      <c r="G462" s="262"/>
      <c r="H462" s="173" t="s">
        <v>224</v>
      </c>
      <c r="I462" s="180" t="s">
        <v>283</v>
      </c>
      <c r="J462" s="173" t="s">
        <v>277</v>
      </c>
      <c r="K462" s="240">
        <v>40909</v>
      </c>
      <c r="L462" s="192" t="s">
        <v>12</v>
      </c>
      <c r="M462" s="262" t="s">
        <v>286</v>
      </c>
      <c r="N462" s="337">
        <v>1400</v>
      </c>
      <c r="O462" s="461">
        <f>CompletedProjects[[#This Row],[Power Plant Size (MW) or Share]]*0.593*9057*211.9*10^(-9)</f>
        <v>1.5933018246599999</v>
      </c>
      <c r="P462" s="337">
        <f>CompletedProjects[[#This Row],[Annual Emissions (MMTCO2)]]*40</f>
        <v>63.732072986399999</v>
      </c>
      <c r="Q462" s="176"/>
      <c r="R462" s="192"/>
      <c r="S462" s="167"/>
      <c r="T462" s="192"/>
    </row>
    <row r="463" spans="1:25" s="83" customFormat="1" ht="43">
      <c r="A463" s="167" t="s">
        <v>75</v>
      </c>
      <c r="B463" s="192" t="s">
        <v>34</v>
      </c>
      <c r="C463" s="171" t="s">
        <v>336</v>
      </c>
      <c r="D463" s="172">
        <v>87900000</v>
      </c>
      <c r="E463" s="173" t="s">
        <v>35</v>
      </c>
      <c r="F463" s="173" t="s">
        <v>64</v>
      </c>
      <c r="G463" s="262"/>
      <c r="H463" s="173" t="s">
        <v>65</v>
      </c>
      <c r="I463" s="180" t="s">
        <v>283</v>
      </c>
      <c r="J463" s="173" t="s">
        <v>26</v>
      </c>
      <c r="K463" s="240">
        <v>40909</v>
      </c>
      <c r="L463" s="206" t="s">
        <v>12</v>
      </c>
      <c r="M463" s="262" t="s">
        <v>294</v>
      </c>
      <c r="N463" s="337">
        <v>1320</v>
      </c>
      <c r="O463" s="461">
        <f>CompletedProjects[[#This Row],[Power Plant Size (MW) or Share]]*0.593*9057*211.9*10^(-9)</f>
        <v>1.5022560061080001</v>
      </c>
      <c r="P463" s="337">
        <f>CompletedProjects[[#This Row],[Annual Emissions (MMTCO2)]]*40</f>
        <v>60.090240244320007</v>
      </c>
      <c r="Q463" s="176"/>
      <c r="R463" s="206"/>
      <c r="S463" s="167"/>
      <c r="T463" s="206"/>
    </row>
    <row r="464" spans="1:25" ht="43">
      <c r="A464" s="181" t="s">
        <v>75</v>
      </c>
      <c r="B464" s="182" t="s">
        <v>559</v>
      </c>
      <c r="C464" s="182" t="s">
        <v>464</v>
      </c>
      <c r="D464" s="172">
        <v>11884552.8624075</v>
      </c>
      <c r="E464" s="173" t="s">
        <v>600</v>
      </c>
      <c r="F464" s="173" t="s">
        <v>601</v>
      </c>
      <c r="G464" s="262" t="s">
        <v>800</v>
      </c>
      <c r="H464" s="173" t="s">
        <v>481</v>
      </c>
      <c r="I464" s="180" t="s">
        <v>283</v>
      </c>
      <c r="J464" s="173" t="s">
        <v>277</v>
      </c>
      <c r="K464" s="240">
        <v>40544</v>
      </c>
      <c r="L464" s="173" t="s">
        <v>909</v>
      </c>
      <c r="M464" s="267"/>
      <c r="N464" s="338">
        <f>600/12</f>
        <v>50</v>
      </c>
      <c r="O464" s="461">
        <f>CompletedProjects[[#This Row],[Power Plant Size (MW) or Share]]*0.593*9057*211.9*10^(-9)</f>
        <v>5.6903636595000001E-2</v>
      </c>
      <c r="P464" s="337">
        <f>CompletedProjects[[#This Row],[Annual Emissions (MMTCO2)]]*40</f>
        <v>2.2761454637999998</v>
      </c>
      <c r="Q464" s="169"/>
      <c r="R464" s="185"/>
      <c r="S464" s="181"/>
      <c r="T464" s="185"/>
      <c r="U464" s="30"/>
    </row>
    <row r="465" spans="1:25" s="83" customFormat="1" ht="86">
      <c r="A465" s="167" t="s">
        <v>75</v>
      </c>
      <c r="B465" s="171" t="s">
        <v>212</v>
      </c>
      <c r="C465" s="171" t="s">
        <v>337</v>
      </c>
      <c r="D465" s="172">
        <v>44619711.375319749</v>
      </c>
      <c r="E465" s="173" t="s">
        <v>35</v>
      </c>
      <c r="F465" s="173" t="s">
        <v>35</v>
      </c>
      <c r="G465" s="262"/>
      <c r="H465" s="173" t="s">
        <v>35</v>
      </c>
      <c r="I465" s="173" t="s">
        <v>284</v>
      </c>
      <c r="J465" s="173" t="s">
        <v>1501</v>
      </c>
      <c r="K465" s="240">
        <v>40909</v>
      </c>
      <c r="L465" s="173" t="s">
        <v>886</v>
      </c>
      <c r="M465" s="262" t="s">
        <v>879</v>
      </c>
      <c r="N465" s="337"/>
      <c r="O465" s="461">
        <f>CompletedProjects[[#This Row],[Power Plant Size (MW) or Share]]*0.593*9057*211.9*10^(-9)</f>
        <v>0</v>
      </c>
      <c r="P465" s="337">
        <f>CompletedProjects[[#This Row],[Annual Emissions (MMTCO2)]]*40</f>
        <v>0</v>
      </c>
      <c r="Q465" s="176"/>
      <c r="R465" s="167"/>
      <c r="S465" s="167"/>
      <c r="T465" s="167"/>
    </row>
    <row r="466" spans="1:25" ht="28.7">
      <c r="A466" s="167" t="s">
        <v>75</v>
      </c>
      <c r="B466" s="171" t="s">
        <v>212</v>
      </c>
      <c r="C466" s="171" t="s">
        <v>337</v>
      </c>
      <c r="D466" s="172">
        <v>95669604.331500009</v>
      </c>
      <c r="E466" s="173" t="s">
        <v>230</v>
      </c>
      <c r="F466" s="173" t="s">
        <v>231</v>
      </c>
      <c r="G466" s="263" t="s">
        <v>731</v>
      </c>
      <c r="H466" s="173" t="s">
        <v>65</v>
      </c>
      <c r="I466" s="180" t="s">
        <v>283</v>
      </c>
      <c r="J466" s="173" t="s">
        <v>26</v>
      </c>
      <c r="K466" s="240">
        <v>40990</v>
      </c>
      <c r="L466" s="173" t="s">
        <v>228</v>
      </c>
      <c r="M466" s="262"/>
      <c r="N466" s="337"/>
      <c r="O466" s="461">
        <f>CompletedProjects[[#This Row],[Power Plant Size (MW) or Share]]*0.593*9057*211.9*10^(-9)</f>
        <v>0</v>
      </c>
      <c r="P466" s="337">
        <f>CompletedProjects[[#This Row],[Annual Emissions (MMTCO2)]]*40</f>
        <v>0</v>
      </c>
      <c r="Q466" s="176"/>
      <c r="R466" s="178"/>
      <c r="S466" s="167"/>
      <c r="T466" s="178"/>
      <c r="U466" s="30"/>
    </row>
    <row r="467" spans="1:25" ht="71.7">
      <c r="A467" s="167" t="s">
        <v>75</v>
      </c>
      <c r="B467" s="192" t="s">
        <v>34</v>
      </c>
      <c r="C467" s="171" t="s">
        <v>336</v>
      </c>
      <c r="D467" s="172">
        <v>19443730.185000002</v>
      </c>
      <c r="E467" s="173" t="s">
        <v>66</v>
      </c>
      <c r="F467" s="173" t="s">
        <v>193</v>
      </c>
      <c r="G467" s="262" t="s">
        <v>706</v>
      </c>
      <c r="H467" s="173" t="s">
        <v>51</v>
      </c>
      <c r="I467" s="173" t="s">
        <v>284</v>
      </c>
      <c r="J467" s="173" t="s">
        <v>1498</v>
      </c>
      <c r="K467" s="240">
        <v>41183</v>
      </c>
      <c r="L467" s="173" t="s">
        <v>811</v>
      </c>
      <c r="M467" s="262"/>
      <c r="N467" s="465"/>
      <c r="O467" s="461">
        <f>CompletedProjects[[#This Row],[Power Plant Size (MW) or Share]]*0.593*9057*211.9*10^(-9)</f>
        <v>0</v>
      </c>
      <c r="P467" s="337">
        <f>CompletedProjects[[#This Row],[Annual Emissions (MMTCO2)]]*40</f>
        <v>0</v>
      </c>
      <c r="Q467" s="193"/>
      <c r="R467" s="178"/>
      <c r="S467" s="167"/>
      <c r="T467" s="178"/>
      <c r="U467" s="2"/>
      <c r="V467" s="2"/>
      <c r="Y467" s="2"/>
    </row>
    <row r="468" spans="1:25" ht="43">
      <c r="A468" s="167" t="s">
        <v>75</v>
      </c>
      <c r="B468" s="171" t="s">
        <v>212</v>
      </c>
      <c r="C468" s="171" t="s">
        <v>337</v>
      </c>
      <c r="D468" s="172">
        <v>75792210.869200006</v>
      </c>
      <c r="E468" s="173" t="s">
        <v>232</v>
      </c>
      <c r="F468" s="173" t="s">
        <v>233</v>
      </c>
      <c r="G468" s="263" t="s">
        <v>729</v>
      </c>
      <c r="H468" s="173" t="s">
        <v>56</v>
      </c>
      <c r="I468" s="173" t="s">
        <v>284</v>
      </c>
      <c r="J468" s="173" t="s">
        <v>1498</v>
      </c>
      <c r="K468" s="240">
        <v>41194</v>
      </c>
      <c r="L468" s="173" t="s">
        <v>234</v>
      </c>
      <c r="M468" s="263" t="s">
        <v>730</v>
      </c>
      <c r="N468" s="337"/>
      <c r="O468" s="461">
        <f>CompletedProjects[[#This Row],[Power Plant Size (MW) or Share]]*0.593*9057*211.9*10^(-9)</f>
        <v>0</v>
      </c>
      <c r="P468" s="337">
        <f>CompletedProjects[[#This Row],[Annual Emissions (MMTCO2)]]*40</f>
        <v>0</v>
      </c>
      <c r="Q468" s="176"/>
      <c r="R468" s="199"/>
      <c r="S468" s="167"/>
      <c r="T468" s="199"/>
      <c r="U468" s="2"/>
      <c r="V468" s="2"/>
      <c r="Y468" s="2"/>
    </row>
    <row r="469" spans="1:25" ht="43">
      <c r="A469" s="167" t="s">
        <v>75</v>
      </c>
      <c r="B469" s="171" t="s">
        <v>34</v>
      </c>
      <c r="C469" s="171" t="s">
        <v>336</v>
      </c>
      <c r="D469" s="172">
        <f>839000000/0.937</f>
        <v>895410885.80576301</v>
      </c>
      <c r="E469" s="171" t="s">
        <v>35</v>
      </c>
      <c r="F469" s="173" t="s">
        <v>616</v>
      </c>
      <c r="G469" s="262"/>
      <c r="H469" s="173" t="s">
        <v>70</v>
      </c>
      <c r="I469" s="173" t="s">
        <v>284</v>
      </c>
      <c r="J469" s="173" t="s">
        <v>1498</v>
      </c>
      <c r="K469" s="240">
        <v>41275</v>
      </c>
      <c r="L469" s="173" t="s">
        <v>355</v>
      </c>
      <c r="M469" s="262"/>
      <c r="N469" s="337"/>
      <c r="O469" s="461">
        <f>CompletedProjects[[#This Row],[Power Plant Size (MW) or Share]]*0.593*9057*211.9*10^(-9)</f>
        <v>0</v>
      </c>
      <c r="P469" s="337">
        <f>CompletedProjects[[#This Row],[Annual Emissions (MMTCO2)]]*40</f>
        <v>0</v>
      </c>
      <c r="Q469" s="176"/>
      <c r="R469" s="178"/>
      <c r="S469" s="167"/>
      <c r="T469" s="178"/>
      <c r="U469" s="2"/>
      <c r="V469" s="2"/>
      <c r="Y469" s="2"/>
    </row>
    <row r="470" spans="1:25" ht="28.7">
      <c r="A470" s="167" t="s">
        <v>75</v>
      </c>
      <c r="B470" s="171" t="s">
        <v>34</v>
      </c>
      <c r="C470" s="171" t="s">
        <v>336</v>
      </c>
      <c r="D470" s="172">
        <f>172000000/0.783</f>
        <v>219667943.80587482</v>
      </c>
      <c r="E470" s="171" t="s">
        <v>35</v>
      </c>
      <c r="F470" s="173" t="s">
        <v>618</v>
      </c>
      <c r="G470" s="262"/>
      <c r="H470" s="173" t="s">
        <v>224</v>
      </c>
      <c r="I470" s="173" t="s">
        <v>284</v>
      </c>
      <c r="J470" s="173" t="s">
        <v>1498</v>
      </c>
      <c r="K470" s="240">
        <v>41275</v>
      </c>
      <c r="L470" s="173" t="s">
        <v>356</v>
      </c>
      <c r="M470" s="262"/>
      <c r="N470" s="337"/>
      <c r="O470" s="461">
        <f>CompletedProjects[[#This Row],[Power Plant Size (MW) or Share]]*0.593*9057*211.9*10^(-9)</f>
        <v>0</v>
      </c>
      <c r="P470" s="337">
        <f>CompletedProjects[[#This Row],[Annual Emissions (MMTCO2)]]*40</f>
        <v>0</v>
      </c>
      <c r="Q470" s="176"/>
      <c r="R470" s="178"/>
      <c r="S470" s="167"/>
      <c r="T470" s="178"/>
      <c r="U470" s="2"/>
      <c r="V470" s="2"/>
      <c r="Y470" s="2"/>
    </row>
    <row r="471" spans="1:25" ht="57.35">
      <c r="A471" s="167" t="s">
        <v>75</v>
      </c>
      <c r="B471" s="171" t="s">
        <v>34</v>
      </c>
      <c r="C471" s="171" t="s">
        <v>336</v>
      </c>
      <c r="D471" s="172">
        <f>64000000/0.783</f>
        <v>81736909.323116213</v>
      </c>
      <c r="E471" s="171" t="s">
        <v>35</v>
      </c>
      <c r="F471" s="173" t="s">
        <v>619</v>
      </c>
      <c r="G471" s="262"/>
      <c r="H471" s="173" t="s">
        <v>65</v>
      </c>
      <c r="I471" s="173" t="s">
        <v>284</v>
      </c>
      <c r="J471" s="173" t="s">
        <v>1498</v>
      </c>
      <c r="K471" s="240">
        <v>41275</v>
      </c>
      <c r="L471" s="173" t="s">
        <v>357</v>
      </c>
      <c r="M471" s="262"/>
      <c r="N471" s="337"/>
      <c r="O471" s="461">
        <f>CompletedProjects[[#This Row],[Power Plant Size (MW) or Share]]*0.593*9057*211.9*10^(-9)</f>
        <v>0</v>
      </c>
      <c r="P471" s="337">
        <f>CompletedProjects[[#This Row],[Annual Emissions (MMTCO2)]]*40</f>
        <v>0</v>
      </c>
      <c r="Q471" s="176"/>
      <c r="R471" s="178"/>
      <c r="S471" s="167"/>
      <c r="T471" s="178"/>
      <c r="U471" s="2"/>
      <c r="V471" s="2"/>
      <c r="Y471" s="2"/>
    </row>
    <row r="472" spans="1:25" ht="57.35">
      <c r="A472" s="167" t="s">
        <v>75</v>
      </c>
      <c r="B472" s="171" t="s">
        <v>34</v>
      </c>
      <c r="C472" s="171" t="s">
        <v>336</v>
      </c>
      <c r="D472" s="172">
        <f>56000000/0.783</f>
        <v>71519795.65772669</v>
      </c>
      <c r="E472" s="171" t="s">
        <v>35</v>
      </c>
      <c r="F472" s="173" t="s">
        <v>623</v>
      </c>
      <c r="G472" s="262"/>
      <c r="H472" s="173" t="s">
        <v>39</v>
      </c>
      <c r="I472" s="173" t="s">
        <v>284</v>
      </c>
      <c r="J472" s="173" t="s">
        <v>1498</v>
      </c>
      <c r="K472" s="240">
        <v>41275</v>
      </c>
      <c r="L472" s="173" t="s">
        <v>364</v>
      </c>
      <c r="M472" s="262"/>
      <c r="N472" s="337"/>
      <c r="O472" s="461">
        <f>CompletedProjects[[#This Row],[Power Plant Size (MW) or Share]]*0.593*9057*211.9*10^(-9)</f>
        <v>0</v>
      </c>
      <c r="P472" s="337">
        <f>CompletedProjects[[#This Row],[Annual Emissions (MMTCO2)]]*40</f>
        <v>0</v>
      </c>
      <c r="Q472" s="176"/>
      <c r="R472" s="178"/>
      <c r="S472" s="167"/>
      <c r="T472" s="178"/>
      <c r="U472" s="2"/>
      <c r="V472" s="2"/>
      <c r="Y472" s="2"/>
    </row>
    <row r="473" spans="1:25" ht="43">
      <c r="A473" s="167" t="s">
        <v>75</v>
      </c>
      <c r="B473" s="171" t="s">
        <v>34</v>
      </c>
      <c r="C473" s="171" t="s">
        <v>336</v>
      </c>
      <c r="D473" s="172">
        <f>30000000/0.783</f>
        <v>38314176.24521073</v>
      </c>
      <c r="E473" s="171" t="s">
        <v>35</v>
      </c>
      <c r="F473" s="173" t="s">
        <v>620</v>
      </c>
      <c r="G473" s="262"/>
      <c r="H473" s="173" t="s">
        <v>39</v>
      </c>
      <c r="I473" s="173" t="s">
        <v>284</v>
      </c>
      <c r="J473" s="173" t="s">
        <v>1498</v>
      </c>
      <c r="K473" s="240">
        <v>41275</v>
      </c>
      <c r="L473" s="173" t="s">
        <v>358</v>
      </c>
      <c r="M473" s="262"/>
      <c r="N473" s="337"/>
      <c r="O473" s="461">
        <f>CompletedProjects[[#This Row],[Power Plant Size (MW) or Share]]*0.593*9057*211.9*10^(-9)</f>
        <v>0</v>
      </c>
      <c r="P473" s="337">
        <f>CompletedProjects[[#This Row],[Annual Emissions (MMTCO2)]]*40</f>
        <v>0</v>
      </c>
      <c r="Q473" s="176"/>
      <c r="R473" s="178"/>
      <c r="S473" s="167"/>
      <c r="T473" s="178"/>
      <c r="U473" s="2"/>
      <c r="V473" s="2"/>
      <c r="Y473" s="2"/>
    </row>
    <row r="474" spans="1:25" ht="28.7">
      <c r="A474" s="167" t="s">
        <v>75</v>
      </c>
      <c r="B474" s="171" t="s">
        <v>34</v>
      </c>
      <c r="C474" s="171" t="s">
        <v>336</v>
      </c>
      <c r="D474" s="172">
        <f>30000000/0.783</f>
        <v>38314176.24521073</v>
      </c>
      <c r="E474" s="171" t="s">
        <v>35</v>
      </c>
      <c r="F474" s="173" t="s">
        <v>624</v>
      </c>
      <c r="G474" s="262"/>
      <c r="H474" s="173" t="s">
        <v>45</v>
      </c>
      <c r="I474" s="173" t="s">
        <v>284</v>
      </c>
      <c r="J474" s="173" t="s">
        <v>1498</v>
      </c>
      <c r="K474" s="240">
        <v>41275</v>
      </c>
      <c r="L474" s="173" t="s">
        <v>365</v>
      </c>
      <c r="M474" s="262"/>
      <c r="N474" s="337"/>
      <c r="O474" s="461">
        <f>CompletedProjects[[#This Row],[Power Plant Size (MW) or Share]]*0.593*9057*211.9*10^(-9)</f>
        <v>0</v>
      </c>
      <c r="P474" s="337">
        <f>CompletedProjects[[#This Row],[Annual Emissions (MMTCO2)]]*40</f>
        <v>0</v>
      </c>
      <c r="Q474" s="176"/>
      <c r="R474" s="178"/>
      <c r="S474" s="167"/>
      <c r="T474" s="178"/>
      <c r="U474" s="2"/>
      <c r="V474" s="2"/>
      <c r="Y474" s="2"/>
    </row>
    <row r="475" spans="1:25" ht="86">
      <c r="A475" s="167" t="s">
        <v>75</v>
      </c>
      <c r="B475" s="171" t="s">
        <v>212</v>
      </c>
      <c r="C475" s="171" t="s">
        <v>337</v>
      </c>
      <c r="D475" s="172">
        <v>31222945.817485899</v>
      </c>
      <c r="E475" s="173" t="s">
        <v>35</v>
      </c>
      <c r="F475" s="173" t="s">
        <v>35</v>
      </c>
      <c r="G475" s="262"/>
      <c r="H475" s="173" t="s">
        <v>35</v>
      </c>
      <c r="I475" s="173" t="s">
        <v>284</v>
      </c>
      <c r="J475" s="173" t="s">
        <v>1498</v>
      </c>
      <c r="K475" s="240">
        <v>41275</v>
      </c>
      <c r="L475" s="173" t="s">
        <v>253</v>
      </c>
      <c r="M475" s="262"/>
      <c r="N475" s="337"/>
      <c r="O475" s="461">
        <f>CompletedProjects[[#This Row],[Power Plant Size (MW) or Share]]*0.593*9057*211.9*10^(-9)</f>
        <v>0</v>
      </c>
      <c r="P475" s="337">
        <f>CompletedProjects[[#This Row],[Annual Emissions (MMTCO2)]]*40</f>
        <v>0</v>
      </c>
      <c r="Q475" s="176"/>
      <c r="R475" s="167"/>
      <c r="S475" s="167"/>
      <c r="T475" s="167"/>
      <c r="U475" s="2"/>
      <c r="V475" s="2"/>
      <c r="Y475" s="2"/>
    </row>
    <row r="476" spans="1:25" ht="43">
      <c r="A476" s="167" t="s">
        <v>75</v>
      </c>
      <c r="B476" s="171" t="s">
        <v>34</v>
      </c>
      <c r="C476" s="171" t="s">
        <v>336</v>
      </c>
      <c r="D476" s="172">
        <f>2000000/0.783</f>
        <v>2554278.4163473817</v>
      </c>
      <c r="E476" s="171" t="s">
        <v>35</v>
      </c>
      <c r="F476" s="173" t="s">
        <v>625</v>
      </c>
      <c r="G476" s="262"/>
      <c r="H476" s="173" t="s">
        <v>45</v>
      </c>
      <c r="I476" s="173" t="s">
        <v>284</v>
      </c>
      <c r="J476" s="173" t="s">
        <v>1498</v>
      </c>
      <c r="K476" s="240">
        <v>41275</v>
      </c>
      <c r="L476" s="173" t="s">
        <v>363</v>
      </c>
      <c r="M476" s="262"/>
      <c r="N476" s="337"/>
      <c r="O476" s="461">
        <f>CompletedProjects[[#This Row],[Power Plant Size (MW) or Share]]*0.593*9057*211.9*10^(-9)</f>
        <v>0</v>
      </c>
      <c r="P476" s="337">
        <f>CompletedProjects[[#This Row],[Annual Emissions (MMTCO2)]]*40</f>
        <v>0</v>
      </c>
      <c r="Q476" s="176"/>
      <c r="R476" s="178"/>
      <c r="S476" s="167"/>
      <c r="T476" s="178"/>
      <c r="U476" s="2"/>
      <c r="V476" s="2"/>
      <c r="Y476" s="2"/>
    </row>
    <row r="477" spans="1:25" ht="28.7">
      <c r="A477" s="167" t="s">
        <v>75</v>
      </c>
      <c r="B477" s="171" t="s">
        <v>34</v>
      </c>
      <c r="C477" s="171" t="s">
        <v>336</v>
      </c>
      <c r="D477" s="172">
        <f>300000/0.783</f>
        <v>383141.76245210727</v>
      </c>
      <c r="E477" s="171" t="s">
        <v>35</v>
      </c>
      <c r="F477" s="173" t="s">
        <v>617</v>
      </c>
      <c r="G477" s="262"/>
      <c r="H477" s="173" t="s">
        <v>70</v>
      </c>
      <c r="I477" s="173" t="s">
        <v>284</v>
      </c>
      <c r="J477" s="173" t="s">
        <v>1498</v>
      </c>
      <c r="K477" s="240">
        <v>41275</v>
      </c>
      <c r="L477" s="173" t="s">
        <v>360</v>
      </c>
      <c r="M477" s="262"/>
      <c r="N477" s="337"/>
      <c r="O477" s="461">
        <f>CompletedProjects[[#This Row],[Power Plant Size (MW) or Share]]*0.593*9057*211.9*10^(-9)</f>
        <v>0</v>
      </c>
      <c r="P477" s="337">
        <f>CompletedProjects[[#This Row],[Annual Emissions (MMTCO2)]]*40</f>
        <v>0</v>
      </c>
      <c r="Q477" s="176"/>
      <c r="R477" s="178"/>
      <c r="S477" s="167"/>
      <c r="T477" s="178"/>
      <c r="U477" s="2"/>
      <c r="V477" s="2"/>
      <c r="Y477" s="2"/>
    </row>
    <row r="478" spans="1:25" ht="71.7">
      <c r="A478" s="167" t="s">
        <v>75</v>
      </c>
      <c r="B478" s="192" t="s">
        <v>34</v>
      </c>
      <c r="C478" s="171" t="s">
        <v>336</v>
      </c>
      <c r="D478" s="172">
        <v>64112499.999999993</v>
      </c>
      <c r="E478" s="173" t="s">
        <v>68</v>
      </c>
      <c r="F478" s="173" t="s">
        <v>69</v>
      </c>
      <c r="G478" s="262" t="s">
        <v>701</v>
      </c>
      <c r="H478" s="173" t="s">
        <v>39</v>
      </c>
      <c r="I478" s="173" t="s">
        <v>284</v>
      </c>
      <c r="J478" s="173" t="s">
        <v>1498</v>
      </c>
      <c r="K478" s="240">
        <v>41334</v>
      </c>
      <c r="L478" s="173" t="s">
        <v>812</v>
      </c>
      <c r="M478" s="262"/>
      <c r="N478" s="465"/>
      <c r="O478" s="461">
        <f>CompletedProjects[[#This Row],[Power Plant Size (MW) or Share]]*0.593*9057*211.9*10^(-9)</f>
        <v>0</v>
      </c>
      <c r="P478" s="337">
        <f>CompletedProjects[[#This Row],[Annual Emissions (MMTCO2)]]*40</f>
        <v>0</v>
      </c>
      <c r="Q478" s="193"/>
      <c r="R478" s="178"/>
      <c r="S478" s="167"/>
      <c r="T478" s="178"/>
      <c r="U478" s="2"/>
      <c r="V478" s="2"/>
      <c r="Y478" s="2"/>
    </row>
    <row r="479" spans="1:25" ht="129">
      <c r="A479" s="167" t="s">
        <v>75</v>
      </c>
      <c r="B479" s="167" t="s">
        <v>512</v>
      </c>
      <c r="C479" s="167" t="s">
        <v>464</v>
      </c>
      <c r="D479" s="172">
        <f>21000000*'Dev Bank Share by Country'!$E$65</f>
        <v>1150066.8547991312</v>
      </c>
      <c r="E479" s="173" t="s">
        <v>434</v>
      </c>
      <c r="F479" s="173" t="s">
        <v>435</v>
      </c>
      <c r="G479" s="262" t="s">
        <v>775</v>
      </c>
      <c r="H479" s="173" t="s">
        <v>436</v>
      </c>
      <c r="I479" s="173" t="s">
        <v>284</v>
      </c>
      <c r="J479" s="173" t="s">
        <v>1498</v>
      </c>
      <c r="K479" s="241">
        <v>40801</v>
      </c>
      <c r="L479" s="173" t="s">
        <v>829</v>
      </c>
      <c r="M479" s="273" t="s">
        <v>775</v>
      </c>
      <c r="N479" s="256"/>
      <c r="O479" s="461">
        <f>CompletedProjects[[#This Row],[Power Plant Size (MW) or Share]]*0.593*9057*211.9*10^(-9)</f>
        <v>0</v>
      </c>
      <c r="P479" s="337">
        <f>CompletedProjects[[#This Row],[Annual Emissions (MMTCO2)]]*40</f>
        <v>0</v>
      </c>
      <c r="Q479" s="167"/>
      <c r="R479" s="167" t="s">
        <v>400</v>
      </c>
      <c r="S479" s="167" t="s">
        <v>633</v>
      </c>
      <c r="T479" s="167"/>
      <c r="U479" s="2"/>
      <c r="V479" s="2"/>
      <c r="Y479" s="2"/>
    </row>
    <row r="480" spans="1:25" ht="57.35">
      <c r="A480" s="167" t="s">
        <v>75</v>
      </c>
      <c r="B480" s="171" t="s">
        <v>212</v>
      </c>
      <c r="C480" s="171" t="s">
        <v>337</v>
      </c>
      <c r="D480" s="172">
        <v>96705007.552499995</v>
      </c>
      <c r="E480" s="173" t="s">
        <v>235</v>
      </c>
      <c r="F480" s="173" t="s">
        <v>251</v>
      </c>
      <c r="G480" s="262"/>
      <c r="H480" s="173" t="s">
        <v>224</v>
      </c>
      <c r="I480" s="180" t="s">
        <v>283</v>
      </c>
      <c r="J480" s="173" t="s">
        <v>277</v>
      </c>
      <c r="K480" s="240">
        <v>41416</v>
      </c>
      <c r="L480" s="173"/>
      <c r="M480" s="262" t="s">
        <v>252</v>
      </c>
      <c r="N480" s="337"/>
      <c r="O480" s="461">
        <f>CompletedProjects[[#This Row],[Power Plant Size (MW) or Share]]*0.593*9057*211.9*10^(-9)</f>
        <v>0</v>
      </c>
      <c r="P480" s="337">
        <f>CompletedProjects[[#This Row],[Annual Emissions (MMTCO2)]]*40</f>
        <v>0</v>
      </c>
      <c r="Q480" s="176"/>
      <c r="R480" s="178"/>
      <c r="S480" s="167"/>
      <c r="T480" s="178"/>
      <c r="U480" s="2"/>
      <c r="V480" s="2"/>
      <c r="Y480" s="2"/>
    </row>
    <row r="481" spans="1:25" ht="57.35">
      <c r="A481" s="167" t="s">
        <v>75</v>
      </c>
      <c r="B481" s="171" t="s">
        <v>209</v>
      </c>
      <c r="C481" s="171" t="s">
        <v>337</v>
      </c>
      <c r="D481" s="172">
        <v>123596454.02249999</v>
      </c>
      <c r="E481" s="173" t="s">
        <v>230</v>
      </c>
      <c r="F481" s="173" t="s">
        <v>236</v>
      </c>
      <c r="G481" s="263" t="s">
        <v>732</v>
      </c>
      <c r="H481" s="173" t="s">
        <v>65</v>
      </c>
      <c r="I481" s="180" t="s">
        <v>244</v>
      </c>
      <c r="J481" s="173" t="s">
        <v>589</v>
      </c>
      <c r="K481" s="240">
        <v>41453</v>
      </c>
      <c r="L481" s="173"/>
      <c r="M481" s="262"/>
      <c r="N481" s="337"/>
      <c r="O481" s="461">
        <f>CompletedProjects[[#This Row],[Power Plant Size (MW) or Share]]*0.593*9057*211.9*10^(-9)</f>
        <v>0</v>
      </c>
      <c r="P481" s="337">
        <f>CompletedProjects[[#This Row],[Annual Emissions (MMTCO2)]]*40</f>
        <v>0</v>
      </c>
      <c r="Q481" s="176"/>
      <c r="R481" s="178"/>
      <c r="S481" s="167"/>
      <c r="T481" s="178"/>
      <c r="U481" s="22"/>
      <c r="V481" s="2"/>
      <c r="X481" s="30"/>
      <c r="Y481" s="2"/>
    </row>
    <row r="482" spans="1:25" ht="28.7">
      <c r="A482" s="167" t="s">
        <v>75</v>
      </c>
      <c r="B482" s="192" t="s">
        <v>34</v>
      </c>
      <c r="C482" s="171" t="s">
        <v>336</v>
      </c>
      <c r="D482" s="172">
        <v>705914063.51189995</v>
      </c>
      <c r="E482" s="173" t="s">
        <v>71</v>
      </c>
      <c r="F482" s="173" t="s">
        <v>72</v>
      </c>
      <c r="G482" s="262" t="s">
        <v>701</v>
      </c>
      <c r="H482" s="173" t="s">
        <v>45</v>
      </c>
      <c r="I482" s="173" t="s">
        <v>40</v>
      </c>
      <c r="J482" s="173" t="s">
        <v>40</v>
      </c>
      <c r="K482" s="247">
        <v>41548</v>
      </c>
      <c r="L482" s="173"/>
      <c r="M482" s="263"/>
      <c r="N482" s="465"/>
      <c r="O482" s="461">
        <f>CompletedProjects[[#This Row],[Power Plant Size (MW) or Share]]*0.593*9057*211.9*10^(-9)</f>
        <v>0</v>
      </c>
      <c r="P482" s="337">
        <f>CompletedProjects[[#This Row],[Annual Emissions (MMTCO2)]]*40</f>
        <v>0</v>
      </c>
      <c r="Q482" s="193"/>
      <c r="R482" s="192"/>
      <c r="S482" s="167"/>
      <c r="T482" s="192"/>
      <c r="U482" s="2"/>
      <c r="V482" s="2"/>
      <c r="Y482" s="2"/>
    </row>
    <row r="483" spans="1:25" ht="28.7">
      <c r="A483" s="167" t="s">
        <v>75</v>
      </c>
      <c r="B483" s="171" t="s">
        <v>212</v>
      </c>
      <c r="C483" s="171" t="s">
        <v>337</v>
      </c>
      <c r="D483" s="172">
        <v>75695673.960500002</v>
      </c>
      <c r="E483" s="173" t="s">
        <v>230</v>
      </c>
      <c r="F483" s="173" t="s">
        <v>237</v>
      </c>
      <c r="G483" s="263" t="s">
        <v>728</v>
      </c>
      <c r="H483" s="173" t="s">
        <v>65</v>
      </c>
      <c r="I483" s="180" t="s">
        <v>283</v>
      </c>
      <c r="J483" s="173" t="s">
        <v>26</v>
      </c>
      <c r="K483" s="240">
        <v>41626</v>
      </c>
      <c r="L483" s="173"/>
      <c r="M483" s="262"/>
      <c r="N483" s="337">
        <v>1000</v>
      </c>
      <c r="O483" s="461">
        <f>CompletedProjects[[#This Row],[Power Plant Size (MW) or Share]]*0.593*9057*211.9*10^(-9)</f>
        <v>1.1380727319000001</v>
      </c>
      <c r="P483" s="337">
        <f>CompletedProjects[[#This Row],[Annual Emissions (MMTCO2)]]*40</f>
        <v>45.522909276000007</v>
      </c>
      <c r="Q483" s="176"/>
      <c r="R483" s="178"/>
      <c r="S483" s="167"/>
      <c r="T483" s="178"/>
      <c r="U483" s="2"/>
      <c r="V483" s="2"/>
      <c r="Y483" s="2"/>
    </row>
    <row r="484" spans="1:25" ht="57.35">
      <c r="A484" s="167" t="s">
        <v>75</v>
      </c>
      <c r="B484" s="167" t="s">
        <v>511</v>
      </c>
      <c r="C484" s="167" t="s">
        <v>464</v>
      </c>
      <c r="D484" s="172">
        <f>18000000*'Dev Bank Share by Country'!$G$65</f>
        <v>904196.99531562906</v>
      </c>
      <c r="E484" s="173" t="s">
        <v>407</v>
      </c>
      <c r="F484" s="173" t="s">
        <v>407</v>
      </c>
      <c r="G484" s="262" t="s">
        <v>776</v>
      </c>
      <c r="H484" s="173" t="s">
        <v>408</v>
      </c>
      <c r="I484" s="180" t="s">
        <v>283</v>
      </c>
      <c r="J484" s="173" t="s">
        <v>409</v>
      </c>
      <c r="K484" s="241">
        <v>39254</v>
      </c>
      <c r="L484" s="173" t="s">
        <v>816</v>
      </c>
      <c r="M484" s="262"/>
      <c r="N484" s="256">
        <f>60/19</f>
        <v>3.1578947368421053</v>
      </c>
      <c r="O484" s="461">
        <f>CompletedProjects[[#This Row],[Power Plant Size (MW) or Share]]*0.593*9057*211.9*10^(-9)</f>
        <v>3.5939138902105262E-3</v>
      </c>
      <c r="P484" s="337">
        <f>CompletedProjects[[#This Row],[Annual Emissions (MMTCO2)]]*40</f>
        <v>0.14375655560842104</v>
      </c>
      <c r="Q484" s="167"/>
      <c r="R484" s="167" t="s">
        <v>636</v>
      </c>
      <c r="S484" s="167" t="s">
        <v>633</v>
      </c>
      <c r="T484" s="167"/>
      <c r="U484" s="2"/>
      <c r="V484" s="2"/>
      <c r="Y484" s="2"/>
    </row>
    <row r="485" spans="1:25" ht="43">
      <c r="A485" s="167" t="s">
        <v>75</v>
      </c>
      <c r="B485" s="171" t="s">
        <v>34</v>
      </c>
      <c r="C485" s="171" t="s">
        <v>336</v>
      </c>
      <c r="D485" s="172">
        <f>32000000/0.784</f>
        <v>40816326.530612245</v>
      </c>
      <c r="E485" s="171" t="s">
        <v>35</v>
      </c>
      <c r="F485" s="173" t="s">
        <v>626</v>
      </c>
      <c r="G485" s="262"/>
      <c r="H485" s="173" t="s">
        <v>65</v>
      </c>
      <c r="I485" s="173" t="s">
        <v>40</v>
      </c>
      <c r="J485" s="173" t="s">
        <v>40</v>
      </c>
      <c r="K485" s="240">
        <v>41640</v>
      </c>
      <c r="L485" s="173" t="s">
        <v>366</v>
      </c>
      <c r="M485" s="262"/>
      <c r="N485" s="337"/>
      <c r="O485" s="461">
        <f>CompletedProjects[[#This Row],[Power Plant Size (MW) or Share]]*0.593*9057*211.9*10^(-9)</f>
        <v>0</v>
      </c>
      <c r="P485" s="337">
        <f>CompletedProjects[[#This Row],[Annual Emissions (MMTCO2)]]*40</f>
        <v>0</v>
      </c>
      <c r="Q485" s="176"/>
      <c r="R485" s="178"/>
      <c r="S485" s="167"/>
      <c r="T485" s="178"/>
      <c r="U485" s="2"/>
      <c r="V485" s="2"/>
      <c r="Y485" s="2"/>
    </row>
    <row r="486" spans="1:25" ht="43">
      <c r="A486" s="167" t="s">
        <v>75</v>
      </c>
      <c r="B486" s="171" t="s">
        <v>34</v>
      </c>
      <c r="C486" s="171" t="s">
        <v>336</v>
      </c>
      <c r="D486" s="172">
        <f>28000000/0.784</f>
        <v>35714285.714285716</v>
      </c>
      <c r="E486" s="171" t="s">
        <v>35</v>
      </c>
      <c r="F486" s="173" t="s">
        <v>621</v>
      </c>
      <c r="G486" s="262"/>
      <c r="H486" s="173" t="s">
        <v>217</v>
      </c>
      <c r="I486" s="180" t="s">
        <v>283</v>
      </c>
      <c r="J486" s="173" t="s">
        <v>283</v>
      </c>
      <c r="K486" s="240">
        <v>41640</v>
      </c>
      <c r="L486" s="173" t="s">
        <v>359</v>
      </c>
      <c r="M486" s="262"/>
      <c r="N486" s="337"/>
      <c r="O486" s="461">
        <f>CompletedProjects[[#This Row],[Power Plant Size (MW) or Share]]*0.593*9057*211.9*10^(-9)</f>
        <v>0</v>
      </c>
      <c r="P486" s="337">
        <f>CompletedProjects[[#This Row],[Annual Emissions (MMTCO2)]]*40</f>
        <v>0</v>
      </c>
      <c r="Q486" s="176"/>
      <c r="R486" s="178"/>
      <c r="S486" s="167"/>
      <c r="T486" s="178"/>
      <c r="U486" s="2"/>
      <c r="V486" s="2"/>
      <c r="Y486" s="2"/>
    </row>
    <row r="487" spans="1:25" ht="43">
      <c r="A487" s="167" t="s">
        <v>75</v>
      </c>
      <c r="B487" s="171" t="s">
        <v>212</v>
      </c>
      <c r="C487" s="171" t="s">
        <v>337</v>
      </c>
      <c r="D487" s="172">
        <v>53160000</v>
      </c>
      <c r="E487" s="173" t="s">
        <v>35</v>
      </c>
      <c r="F487" s="173" t="s">
        <v>238</v>
      </c>
      <c r="G487" s="262"/>
      <c r="H487" s="173" t="s">
        <v>239</v>
      </c>
      <c r="I487" s="173" t="s">
        <v>284</v>
      </c>
      <c r="J487" s="173" t="s">
        <v>1500</v>
      </c>
      <c r="K487" s="240">
        <v>41640</v>
      </c>
      <c r="L487" s="173" t="s">
        <v>887</v>
      </c>
      <c r="M487" s="262"/>
      <c r="N487" s="337"/>
      <c r="O487" s="461">
        <f>CompletedProjects[[#This Row],[Power Plant Size (MW) or Share]]*0.593*9057*211.9*10^(-9)</f>
        <v>0</v>
      </c>
      <c r="P487" s="337">
        <f>CompletedProjects[[#This Row],[Annual Emissions (MMTCO2)]]*40</f>
        <v>0</v>
      </c>
      <c r="Q487" s="176"/>
      <c r="R487" s="178"/>
      <c r="S487" s="167"/>
      <c r="T487" s="178"/>
      <c r="U487" s="2"/>
      <c r="V487" s="2"/>
      <c r="Y487" s="2"/>
    </row>
    <row r="488" spans="1:25" ht="28.7">
      <c r="A488" s="167" t="s">
        <v>75</v>
      </c>
      <c r="B488" s="171" t="s">
        <v>212</v>
      </c>
      <c r="C488" s="171" t="s">
        <v>337</v>
      </c>
      <c r="D488" s="172">
        <v>48375600</v>
      </c>
      <c r="E488" s="173" t="s">
        <v>35</v>
      </c>
      <c r="F488" s="173" t="s">
        <v>241</v>
      </c>
      <c r="G488" s="262"/>
      <c r="H488" s="173" t="s">
        <v>239</v>
      </c>
      <c r="I488" s="173" t="s">
        <v>284</v>
      </c>
      <c r="J488" s="173" t="s">
        <v>1500</v>
      </c>
      <c r="K488" s="240">
        <v>41640</v>
      </c>
      <c r="L488" s="173" t="s">
        <v>887</v>
      </c>
      <c r="M488" s="262"/>
      <c r="N488" s="337"/>
      <c r="O488" s="461">
        <f>CompletedProjects[[#This Row],[Power Plant Size (MW) or Share]]*0.593*9057*211.9*10^(-9)</f>
        <v>0</v>
      </c>
      <c r="P488" s="337">
        <f>CompletedProjects[[#This Row],[Annual Emissions (MMTCO2)]]*40</f>
        <v>0</v>
      </c>
      <c r="Q488" s="176"/>
      <c r="R488" s="178"/>
      <c r="S488" s="167"/>
      <c r="T488" s="178"/>
      <c r="U488" s="2"/>
      <c r="V488" s="2"/>
      <c r="Y488" s="2"/>
    </row>
    <row r="489" spans="1:25" ht="28.7">
      <c r="A489" s="167" t="s">
        <v>75</v>
      </c>
      <c r="B489" s="171" t="s">
        <v>212</v>
      </c>
      <c r="C489" s="171" t="s">
        <v>337</v>
      </c>
      <c r="D489" s="172">
        <v>2392200</v>
      </c>
      <c r="E489" s="173" t="s">
        <v>35</v>
      </c>
      <c r="F489" s="173" t="s">
        <v>242</v>
      </c>
      <c r="G489" s="262"/>
      <c r="H489" s="173" t="s">
        <v>243</v>
      </c>
      <c r="I489" s="173" t="s">
        <v>284</v>
      </c>
      <c r="J489" s="173" t="s">
        <v>1500</v>
      </c>
      <c r="K489" s="240">
        <v>41640</v>
      </c>
      <c r="L489" s="173" t="s">
        <v>887</v>
      </c>
      <c r="M489" s="262"/>
      <c r="N489" s="337"/>
      <c r="O489" s="461">
        <f>CompletedProjects[[#This Row],[Power Plant Size (MW) or Share]]*0.593*9057*211.9*10^(-9)</f>
        <v>0</v>
      </c>
      <c r="P489" s="337">
        <f>CompletedProjects[[#This Row],[Annual Emissions (MMTCO2)]]*40</f>
        <v>0</v>
      </c>
      <c r="Q489" s="176"/>
      <c r="R489" s="178"/>
      <c r="S489" s="167"/>
      <c r="T489" s="178"/>
      <c r="U489" s="2"/>
      <c r="V489" s="2"/>
      <c r="Y489" s="2"/>
    </row>
    <row r="490" spans="1:25" ht="43">
      <c r="A490" s="167" t="s">
        <v>75</v>
      </c>
      <c r="B490" s="171" t="s">
        <v>34</v>
      </c>
      <c r="C490" s="171" t="s">
        <v>336</v>
      </c>
      <c r="D490" s="172">
        <f>4000000/0.784</f>
        <v>5102040.8163265307</v>
      </c>
      <c r="E490" s="171" t="s">
        <v>35</v>
      </c>
      <c r="F490" s="173" t="s">
        <v>627</v>
      </c>
      <c r="G490" s="262"/>
      <c r="H490" s="173" t="s">
        <v>1309</v>
      </c>
      <c r="I490" s="173" t="s">
        <v>40</v>
      </c>
      <c r="J490" s="173" t="s">
        <v>40</v>
      </c>
      <c r="K490" s="240">
        <v>41640</v>
      </c>
      <c r="L490" s="173" t="s">
        <v>367</v>
      </c>
      <c r="M490" s="262"/>
      <c r="N490" s="337"/>
      <c r="O490" s="461">
        <f>CompletedProjects[[#This Row],[Power Plant Size (MW) or Share]]*0.593*9057*211.9*10^(-9)</f>
        <v>0</v>
      </c>
      <c r="P490" s="337">
        <f>CompletedProjects[[#This Row],[Annual Emissions (MMTCO2)]]*40</f>
        <v>0</v>
      </c>
      <c r="Q490" s="176"/>
      <c r="R490" s="178"/>
      <c r="S490" s="167"/>
      <c r="T490" s="178"/>
      <c r="U490" s="2"/>
      <c r="V490" s="2"/>
      <c r="Y490" s="2"/>
    </row>
    <row r="491" spans="1:25" ht="43">
      <c r="A491" s="167" t="s">
        <v>75</v>
      </c>
      <c r="B491" s="171" t="s">
        <v>34</v>
      </c>
      <c r="C491" s="171" t="s">
        <v>336</v>
      </c>
      <c r="D491" s="172">
        <f>2000000/0.784</f>
        <v>2551020.4081632653</v>
      </c>
      <c r="E491" s="171" t="s">
        <v>35</v>
      </c>
      <c r="F491" s="173" t="s">
        <v>628</v>
      </c>
      <c r="G491" s="262"/>
      <c r="H491" s="173" t="s">
        <v>45</v>
      </c>
      <c r="I491" s="173" t="s">
        <v>40</v>
      </c>
      <c r="J491" s="173" t="s">
        <v>40</v>
      </c>
      <c r="K491" s="240">
        <v>41640</v>
      </c>
      <c r="L491" s="173" t="s">
        <v>363</v>
      </c>
      <c r="M491" s="262"/>
      <c r="N491" s="337"/>
      <c r="O491" s="461">
        <f>CompletedProjects[[#This Row],[Power Plant Size (MW) or Share]]*0.593*9057*211.9*10^(-9)</f>
        <v>0</v>
      </c>
      <c r="P491" s="337">
        <f>CompletedProjects[[#This Row],[Annual Emissions (MMTCO2)]]*40</f>
        <v>0</v>
      </c>
      <c r="Q491" s="176"/>
      <c r="R491" s="178"/>
      <c r="S491" s="167"/>
      <c r="T491" s="178"/>
      <c r="U491" s="2"/>
      <c r="V491" s="2"/>
      <c r="Y491" s="2"/>
    </row>
    <row r="492" spans="1:25" ht="28.7">
      <c r="A492" s="167" t="s">
        <v>75</v>
      </c>
      <c r="B492" s="171" t="s">
        <v>34</v>
      </c>
      <c r="C492" s="171" t="s">
        <v>336</v>
      </c>
      <c r="D492" s="172">
        <f>300000/0.784</f>
        <v>382653.06122448976</v>
      </c>
      <c r="E492" s="171" t="s">
        <v>35</v>
      </c>
      <c r="F492" s="173" t="s">
        <v>622</v>
      </c>
      <c r="G492" s="262"/>
      <c r="H492" s="173" t="s">
        <v>70</v>
      </c>
      <c r="I492" s="180" t="s">
        <v>283</v>
      </c>
      <c r="J492" s="173" t="s">
        <v>283</v>
      </c>
      <c r="K492" s="240">
        <v>41640</v>
      </c>
      <c r="L492" s="173" t="s">
        <v>360</v>
      </c>
      <c r="M492" s="262"/>
      <c r="N492" s="337"/>
      <c r="O492" s="461">
        <f>CompletedProjects[[#This Row],[Power Plant Size (MW) or Share]]*0.593*9057*211.9*10^(-9)</f>
        <v>0</v>
      </c>
      <c r="P492" s="337">
        <f>CompletedProjects[[#This Row],[Annual Emissions (MMTCO2)]]*40</f>
        <v>0</v>
      </c>
      <c r="Q492" s="176"/>
      <c r="R492" s="178"/>
      <c r="S492" s="167"/>
      <c r="T492" s="178"/>
      <c r="U492" s="30"/>
    </row>
    <row r="493" spans="1:25" ht="57.35">
      <c r="A493" s="167" t="s">
        <v>75</v>
      </c>
      <c r="B493" s="192" t="s">
        <v>34</v>
      </c>
      <c r="C493" s="171" t="s">
        <v>336</v>
      </c>
      <c r="D493" s="172">
        <v>20231720.640000001</v>
      </c>
      <c r="E493" s="173" t="s">
        <v>1426</v>
      </c>
      <c r="F493" s="173" t="s">
        <v>150</v>
      </c>
      <c r="G493" s="262" t="s">
        <v>687</v>
      </c>
      <c r="H493" s="173" t="s">
        <v>19</v>
      </c>
      <c r="I493" s="173" t="s">
        <v>284</v>
      </c>
      <c r="J493" s="173" t="s">
        <v>74</v>
      </c>
      <c r="K493" s="247">
        <v>41671</v>
      </c>
      <c r="L493" s="173" t="s">
        <v>813</v>
      </c>
      <c r="M493" s="263"/>
      <c r="N493" s="465"/>
      <c r="O493" s="461">
        <f>CompletedProjects[[#This Row],[Power Plant Size (MW) or Share]]*0.593*9057*211.9*10^(-9)</f>
        <v>0</v>
      </c>
      <c r="P493" s="337">
        <f>CompletedProjects[[#This Row],[Annual Emissions (MMTCO2)]]*40</f>
        <v>0</v>
      </c>
      <c r="Q493" s="193"/>
      <c r="R493" s="192"/>
      <c r="S493" s="167"/>
      <c r="T493" s="192"/>
      <c r="U493" s="30"/>
    </row>
    <row r="494" spans="1:25" ht="28.7">
      <c r="A494" s="167" t="s">
        <v>75</v>
      </c>
      <c r="B494" s="171" t="s">
        <v>209</v>
      </c>
      <c r="C494" s="171" t="s">
        <v>337</v>
      </c>
      <c r="D494" s="172"/>
      <c r="E494" s="173" t="s">
        <v>1426</v>
      </c>
      <c r="F494" s="173" t="s">
        <v>73</v>
      </c>
      <c r="G494" s="263" t="s">
        <v>746</v>
      </c>
      <c r="H494" s="173" t="s">
        <v>65</v>
      </c>
      <c r="I494" s="173" t="s">
        <v>284</v>
      </c>
      <c r="J494" s="173" t="s">
        <v>254</v>
      </c>
      <c r="K494" s="240">
        <v>41671</v>
      </c>
      <c r="L494" s="173" t="s">
        <v>255</v>
      </c>
      <c r="M494" s="262"/>
      <c r="N494" s="337"/>
      <c r="O494" s="461">
        <f>CompletedProjects[[#This Row],[Power Plant Size (MW) or Share]]*0.593*9057*211.9*10^(-9)</f>
        <v>0</v>
      </c>
      <c r="P494" s="337">
        <f>CompletedProjects[[#This Row],[Annual Emissions (MMTCO2)]]*40</f>
        <v>0</v>
      </c>
      <c r="Q494" s="176"/>
      <c r="R494" s="178"/>
      <c r="S494" s="167"/>
      <c r="T494" s="178"/>
      <c r="U494" s="30"/>
    </row>
    <row r="495" spans="1:25" ht="86">
      <c r="A495" s="167" t="s">
        <v>75</v>
      </c>
      <c r="B495" s="167" t="s">
        <v>512</v>
      </c>
      <c r="C495" s="167" t="s">
        <v>464</v>
      </c>
      <c r="D495" s="172">
        <f>7500000*'Dev Bank Share by Country'!$E$65</f>
        <v>410738.16242826113</v>
      </c>
      <c r="E495" s="173" t="s">
        <v>456</v>
      </c>
      <c r="F495" s="173" t="s">
        <v>457</v>
      </c>
      <c r="G495" s="262" t="s">
        <v>794</v>
      </c>
      <c r="H495" s="173" t="s">
        <v>458</v>
      </c>
      <c r="I495" s="180" t="s">
        <v>283</v>
      </c>
      <c r="J495" s="173" t="s">
        <v>26</v>
      </c>
      <c r="K495" s="241">
        <v>41627</v>
      </c>
      <c r="L495" s="173" t="s">
        <v>899</v>
      </c>
      <c r="M495" s="262"/>
      <c r="N495" s="256">
        <f>125/19</f>
        <v>6.5789473684210522</v>
      </c>
      <c r="O495" s="461">
        <f>CompletedProjects[[#This Row],[Power Plant Size (MW) or Share]]*0.593*9057*211.9*10^(-9)</f>
        <v>7.487320604605263E-3</v>
      </c>
      <c r="P495" s="337">
        <f>CompletedProjects[[#This Row],[Annual Emissions (MMTCO2)]]*40</f>
        <v>0.29949282418421053</v>
      </c>
      <c r="Q495" s="167"/>
      <c r="R495" s="167" t="s">
        <v>637</v>
      </c>
      <c r="S495" s="167" t="s">
        <v>633</v>
      </c>
      <c r="T495" s="167" t="s">
        <v>537</v>
      </c>
      <c r="U495" s="30"/>
    </row>
    <row r="496" spans="1:25" ht="100.35">
      <c r="A496" s="167" t="s">
        <v>75</v>
      </c>
      <c r="B496" s="167" t="s">
        <v>511</v>
      </c>
      <c r="C496" s="167" t="s">
        <v>464</v>
      </c>
      <c r="D496" s="172">
        <f>146970000*'Dev Bank Share by Country'!$G$65</f>
        <v>7382768.466752111</v>
      </c>
      <c r="E496" s="173" t="s">
        <v>459</v>
      </c>
      <c r="F496" s="173" t="s">
        <v>460</v>
      </c>
      <c r="G496" s="262" t="s">
        <v>784</v>
      </c>
      <c r="H496" s="173" t="s">
        <v>239</v>
      </c>
      <c r="I496" s="180" t="s">
        <v>283</v>
      </c>
      <c r="J496" s="173" t="s">
        <v>26</v>
      </c>
      <c r="K496" s="241">
        <v>41701</v>
      </c>
      <c r="L496" s="173" t="s">
        <v>900</v>
      </c>
      <c r="M496" s="262"/>
      <c r="N496" s="256"/>
      <c r="O496" s="461">
        <f>CompletedProjects[[#This Row],[Power Plant Size (MW) or Share]]*0.593*9057*211.9*10^(-9)</f>
        <v>0</v>
      </c>
      <c r="P496" s="337">
        <f>CompletedProjects[[#This Row],[Annual Emissions (MMTCO2)]]*40</f>
        <v>0</v>
      </c>
      <c r="Q496" s="167"/>
      <c r="R496" s="167" t="s">
        <v>400</v>
      </c>
      <c r="S496" s="167" t="s">
        <v>465</v>
      </c>
      <c r="T496" s="167"/>
      <c r="U496" s="30"/>
    </row>
    <row r="497" spans="1:25" ht="28.7">
      <c r="A497" s="173" t="s">
        <v>75</v>
      </c>
      <c r="B497" s="173" t="s">
        <v>519</v>
      </c>
      <c r="C497" s="173" t="s">
        <v>464</v>
      </c>
      <c r="D497" s="172">
        <f>120000000*'Dev Bank Share by Country'!$K$65</f>
        <v>5197200</v>
      </c>
      <c r="E497" s="173" t="s">
        <v>533</v>
      </c>
      <c r="F497" s="173" t="s">
        <v>534</v>
      </c>
      <c r="G497" s="262"/>
      <c r="H497" s="173" t="s">
        <v>95</v>
      </c>
      <c r="I497" s="180" t="s">
        <v>283</v>
      </c>
      <c r="J497" s="173" t="s">
        <v>277</v>
      </c>
      <c r="K497" s="241">
        <v>40158</v>
      </c>
      <c r="L497" s="173" t="s">
        <v>535</v>
      </c>
      <c r="M497" s="262"/>
      <c r="N497" s="337">
        <f>200/13</f>
        <v>15.384615384615385</v>
      </c>
      <c r="O497" s="461">
        <f>CompletedProjects[[#This Row],[Power Plant Size (MW) or Share]]*0.593*9057*211.9*10^(-9)</f>
        <v>1.750881126E-2</v>
      </c>
      <c r="P497" s="337">
        <f>CompletedProjects[[#This Row],[Annual Emissions (MMTCO2)]]*40</f>
        <v>0.70035245040000005</v>
      </c>
      <c r="Q497" s="176"/>
      <c r="R497" s="178"/>
      <c r="S497" s="167"/>
      <c r="T497" s="178"/>
      <c r="U497" s="30"/>
    </row>
    <row r="498" spans="1:25" ht="129">
      <c r="A498" s="167" t="s">
        <v>75</v>
      </c>
      <c r="B498" s="171" t="s">
        <v>509</v>
      </c>
      <c r="C498" s="171" t="s">
        <v>464</v>
      </c>
      <c r="D498" s="172">
        <v>8219344.2675580001</v>
      </c>
      <c r="E498" s="173" t="s">
        <v>556</v>
      </c>
      <c r="F498" s="173" t="s">
        <v>555</v>
      </c>
      <c r="G498" s="262"/>
      <c r="H498" s="173" t="s">
        <v>554</v>
      </c>
      <c r="I498" s="180" t="s">
        <v>283</v>
      </c>
      <c r="J498" s="173" t="s">
        <v>26</v>
      </c>
      <c r="K498" s="240">
        <v>42064</v>
      </c>
      <c r="L498" s="173" t="s">
        <v>857</v>
      </c>
      <c r="M498" s="262" t="s">
        <v>858</v>
      </c>
      <c r="N498" s="337"/>
      <c r="O498" s="461">
        <f>CompletedProjects[[#This Row],[Power Plant Size (MW) or Share]]*0.593*9057*211.9*10^(-9)</f>
        <v>0</v>
      </c>
      <c r="P498" s="337">
        <f>CompletedProjects[[#This Row],[Annual Emissions (MMTCO2)]]*40</f>
        <v>0</v>
      </c>
      <c r="Q498" s="176"/>
      <c r="R498" s="178" t="s">
        <v>537</v>
      </c>
      <c r="S498" s="167"/>
      <c r="T498" s="178"/>
      <c r="U498" s="30"/>
    </row>
    <row r="499" spans="1:25" ht="43">
      <c r="A499" s="181" t="s">
        <v>75</v>
      </c>
      <c r="B499" s="182" t="s">
        <v>559</v>
      </c>
      <c r="C499" s="182" t="s">
        <v>464</v>
      </c>
      <c r="D499" s="172">
        <v>7574605.9476079065</v>
      </c>
      <c r="E499" s="173" t="s">
        <v>595</v>
      </c>
      <c r="F499" s="173" t="s">
        <v>594</v>
      </c>
      <c r="G499" s="262" t="s">
        <v>796</v>
      </c>
      <c r="H499" s="173" t="s">
        <v>45</v>
      </c>
      <c r="I499" s="180" t="s">
        <v>283</v>
      </c>
      <c r="J499" s="173" t="s">
        <v>277</v>
      </c>
      <c r="K499" s="240">
        <v>40032</v>
      </c>
      <c r="L499" s="173"/>
      <c r="M499" s="262"/>
      <c r="N499" s="338">
        <f>185/12</f>
        <v>15.416666666666666</v>
      </c>
      <c r="O499" s="461">
        <f>CompletedProjects[[#This Row],[Power Plant Size (MW) or Share]]*0.593*9057*211.9*10^(-9)</f>
        <v>1.7545287950124999E-2</v>
      </c>
      <c r="P499" s="337">
        <f>CompletedProjects[[#This Row],[Annual Emissions (MMTCO2)]]*40</f>
        <v>0.70181151800499997</v>
      </c>
      <c r="Q499" s="169"/>
      <c r="R499" s="185"/>
      <c r="S499" s="181"/>
      <c r="T499" s="185"/>
      <c r="U499" s="30"/>
    </row>
    <row r="500" spans="1:25" ht="215">
      <c r="A500" s="181" t="s">
        <v>75</v>
      </c>
      <c r="B500" s="182" t="s">
        <v>509</v>
      </c>
      <c r="C500" s="182" t="s">
        <v>464</v>
      </c>
      <c r="D500" s="172">
        <v>46233811.505013749</v>
      </c>
      <c r="E500" s="173" t="s">
        <v>41</v>
      </c>
      <c r="F500" s="173" t="s">
        <v>553</v>
      </c>
      <c r="G500" s="262" t="s">
        <v>788</v>
      </c>
      <c r="H500" s="173" t="s">
        <v>25</v>
      </c>
      <c r="I500" s="173" t="s">
        <v>284</v>
      </c>
      <c r="J500" s="173" t="s">
        <v>79</v>
      </c>
      <c r="K500" s="240">
        <v>42359</v>
      </c>
      <c r="L500" s="173" t="s">
        <v>1326</v>
      </c>
      <c r="M500" s="262" t="s">
        <v>861</v>
      </c>
      <c r="N500" s="337"/>
      <c r="O500" s="461">
        <f>CompletedProjects[[#This Row],[Power Plant Size (MW) or Share]]*0.593*9057*211.9*10^(-9)</f>
        <v>0</v>
      </c>
      <c r="P500" s="337">
        <f>CompletedProjects[[#This Row],[Annual Emissions (MMTCO2)]]*40</f>
        <v>0</v>
      </c>
      <c r="Q500" s="176"/>
      <c r="R500" s="178"/>
      <c r="S500" s="167"/>
      <c r="T500" s="178"/>
      <c r="U500" s="30"/>
    </row>
    <row r="501" spans="1:25" ht="272.35000000000002">
      <c r="A501" s="167" t="s">
        <v>75</v>
      </c>
      <c r="B501" s="167" t="s">
        <v>513</v>
      </c>
      <c r="C501" s="167" t="s">
        <v>464</v>
      </c>
      <c r="D501" s="172">
        <f>29600000*'Dev Bank Share by Country'!$C$65</f>
        <v>1367520</v>
      </c>
      <c r="E501" s="173" t="s">
        <v>266</v>
      </c>
      <c r="F501" s="173" t="s">
        <v>444</v>
      </c>
      <c r="G501" s="262" t="s">
        <v>781</v>
      </c>
      <c r="H501" s="173" t="s">
        <v>85</v>
      </c>
      <c r="I501" s="173" t="s">
        <v>284</v>
      </c>
      <c r="J501" s="173" t="s">
        <v>1498</v>
      </c>
      <c r="K501" s="241">
        <v>41163</v>
      </c>
      <c r="L501" s="173" t="s">
        <v>825</v>
      </c>
      <c r="M501" s="262"/>
      <c r="N501" s="256"/>
      <c r="O501" s="461">
        <f>CompletedProjects[[#This Row],[Power Plant Size (MW) or Share]]*0.593*9057*211.9*10^(-9)</f>
        <v>0</v>
      </c>
      <c r="P501" s="337">
        <f>CompletedProjects[[#This Row],[Annual Emissions (MMTCO2)]]*40</f>
        <v>0</v>
      </c>
      <c r="Q501" s="167"/>
      <c r="R501" s="167" t="s">
        <v>400</v>
      </c>
      <c r="S501" s="167" t="s">
        <v>465</v>
      </c>
      <c r="T501" s="167"/>
      <c r="U501" s="30"/>
    </row>
    <row r="502" spans="1:25" ht="43">
      <c r="A502" s="167" t="s">
        <v>75</v>
      </c>
      <c r="B502" s="182" t="s">
        <v>559</v>
      </c>
      <c r="C502" s="182" t="s">
        <v>464</v>
      </c>
      <c r="D502" s="172">
        <v>1452552.1616394678</v>
      </c>
      <c r="E502" s="173" t="s">
        <v>598</v>
      </c>
      <c r="F502" s="173" t="s">
        <v>598</v>
      </c>
      <c r="G502" s="262" t="s">
        <v>798</v>
      </c>
      <c r="H502" s="173" t="s">
        <v>201</v>
      </c>
      <c r="I502" s="173" t="s">
        <v>40</v>
      </c>
      <c r="J502" s="173" t="s">
        <v>40</v>
      </c>
      <c r="K502" s="240">
        <v>40199</v>
      </c>
      <c r="L502" s="269" t="s">
        <v>1691</v>
      </c>
      <c r="M502" s="262"/>
      <c r="N502" s="337"/>
      <c r="O502" s="461">
        <f>CompletedProjects[[#This Row],[Power Plant Size (MW) or Share]]*0.593*9057*211.9*10^(-9)</f>
        <v>0</v>
      </c>
      <c r="P502" s="337">
        <f>CompletedProjects[[#This Row],[Annual Emissions (MMTCO2)]]*40</f>
        <v>0</v>
      </c>
      <c r="Q502" s="176"/>
      <c r="R502" s="178"/>
      <c r="S502" s="167"/>
      <c r="T502" s="178"/>
      <c r="U502" s="30"/>
    </row>
    <row r="503" spans="1:25" ht="157.69999999999999">
      <c r="A503" s="167" t="s">
        <v>75</v>
      </c>
      <c r="B503" s="167" t="s">
        <v>512</v>
      </c>
      <c r="C503" s="167" t="s">
        <v>464</v>
      </c>
      <c r="D503" s="172">
        <f>2000000*'Dev Bank Share by Country'!$E$65</f>
        <v>109530.1766475363</v>
      </c>
      <c r="E503" s="173" t="s">
        <v>410</v>
      </c>
      <c r="F503" s="173" t="s">
        <v>411</v>
      </c>
      <c r="G503" s="262" t="s">
        <v>777</v>
      </c>
      <c r="H503" s="173" t="s">
        <v>412</v>
      </c>
      <c r="I503" s="173" t="s">
        <v>284</v>
      </c>
      <c r="J503" s="173" t="s">
        <v>1498</v>
      </c>
      <c r="K503" s="241">
        <v>39261</v>
      </c>
      <c r="L503" s="173" t="s">
        <v>916</v>
      </c>
      <c r="M503" s="262"/>
      <c r="N503" s="256"/>
      <c r="O503" s="461">
        <f>CompletedProjects[[#This Row],[Power Plant Size (MW) or Share]]*0.593*9057*211.9*10^(-9)</f>
        <v>0</v>
      </c>
      <c r="P503" s="337">
        <f>CompletedProjects[[#This Row],[Annual Emissions (MMTCO2)]]*40</f>
        <v>0</v>
      </c>
      <c r="Q503" s="167"/>
      <c r="R503" s="167" t="s">
        <v>400</v>
      </c>
      <c r="S503" s="167" t="s">
        <v>633</v>
      </c>
      <c r="T503" s="167"/>
      <c r="U503" s="30"/>
    </row>
    <row r="504" spans="1:25" s="82" customFormat="1" ht="114.7">
      <c r="A504" s="167" t="s">
        <v>75</v>
      </c>
      <c r="B504" s="167" t="s">
        <v>513</v>
      </c>
      <c r="C504" s="167" t="s">
        <v>464</v>
      </c>
      <c r="D504" s="172">
        <f>3040000000*'Dev Bank Share by Country'!$C$65</f>
        <v>140448000</v>
      </c>
      <c r="E504" s="173" t="s">
        <v>41</v>
      </c>
      <c r="F504" s="173" t="s">
        <v>432</v>
      </c>
      <c r="G504" s="262" t="s">
        <v>773</v>
      </c>
      <c r="H504" s="173" t="s">
        <v>25</v>
      </c>
      <c r="I504" s="180" t="s">
        <v>283</v>
      </c>
      <c r="J504" s="173" t="s">
        <v>26</v>
      </c>
      <c r="K504" s="241">
        <v>40276</v>
      </c>
      <c r="L504" s="173" t="s">
        <v>923</v>
      </c>
      <c r="M504" s="273"/>
      <c r="N504" s="337">
        <f>4800/19/2</f>
        <v>126.31578947368421</v>
      </c>
      <c r="O504" s="461">
        <f>CompletedProjects[[#This Row],[Power Plant Size (MW) or Share]]*0.593*9057*211.9*10^(-9)</f>
        <v>0.14375655560842107</v>
      </c>
      <c r="P504" s="337">
        <f>CompletedProjects[[#This Row],[Annual Emissions (MMTCO2)]]*40</f>
        <v>5.7502622243368426</v>
      </c>
      <c r="Q504" s="167"/>
      <c r="R504" s="178" t="s">
        <v>643</v>
      </c>
      <c r="S504" s="167" t="s">
        <v>465</v>
      </c>
      <c r="T504" s="178"/>
      <c r="U504" s="145"/>
      <c r="V504" s="144"/>
      <c r="Y504" s="145"/>
    </row>
    <row r="505" spans="1:25" s="82" customFormat="1" ht="43">
      <c r="A505" s="181" t="s">
        <v>75</v>
      </c>
      <c r="B505" s="182" t="s">
        <v>559</v>
      </c>
      <c r="C505" s="182" t="s">
        <v>464</v>
      </c>
      <c r="D505" s="172">
        <v>1711108.4400680675</v>
      </c>
      <c r="E505" s="173" t="s">
        <v>592</v>
      </c>
      <c r="F505" s="173" t="s">
        <v>593</v>
      </c>
      <c r="G505" s="262" t="s">
        <v>795</v>
      </c>
      <c r="H505" s="173" t="s">
        <v>201</v>
      </c>
      <c r="I505" s="173" t="s">
        <v>40</v>
      </c>
      <c r="J505" s="173" t="s">
        <v>40</v>
      </c>
      <c r="K505" s="240">
        <v>39854</v>
      </c>
      <c r="L505" s="183" t="s">
        <v>1689</v>
      </c>
      <c r="M505" s="262"/>
      <c r="N505" s="337"/>
      <c r="O505" s="461">
        <f>CompletedProjects[[#This Row],[Power Plant Size (MW) or Share]]*0.593*9057*211.9*10^(-9)</f>
        <v>0</v>
      </c>
      <c r="P505" s="337">
        <f>CompletedProjects[[#This Row],[Annual Emissions (MMTCO2)]]*40</f>
        <v>0</v>
      </c>
      <c r="Q505" s="176"/>
      <c r="R505" s="173" t="s">
        <v>907</v>
      </c>
      <c r="S505" s="167"/>
      <c r="T505" s="173"/>
      <c r="U505" s="145"/>
      <c r="V505" s="144"/>
      <c r="Y505" s="145"/>
    </row>
    <row r="506" spans="1:25" s="82" customFormat="1" ht="43">
      <c r="A506" s="173" t="s">
        <v>75</v>
      </c>
      <c r="B506" s="173" t="s">
        <v>519</v>
      </c>
      <c r="C506" s="173" t="s">
        <v>464</v>
      </c>
      <c r="D506" s="172">
        <f>135000000*'Dev Bank Share by Country'!$K$65</f>
        <v>5846850</v>
      </c>
      <c r="E506" s="173" t="s">
        <v>531</v>
      </c>
      <c r="F506" s="173" t="s">
        <v>538</v>
      </c>
      <c r="G506" s="262"/>
      <c r="H506" s="173" t="s">
        <v>239</v>
      </c>
      <c r="I506" s="180" t="s">
        <v>283</v>
      </c>
      <c r="J506" s="173" t="s">
        <v>26</v>
      </c>
      <c r="K506" s="241">
        <v>40217</v>
      </c>
      <c r="L506" s="173" t="s">
        <v>539</v>
      </c>
      <c r="M506" s="262"/>
      <c r="N506" s="337">
        <f>250/13</f>
        <v>19.23076923076923</v>
      </c>
      <c r="O506" s="461">
        <f>CompletedProjects[[#This Row],[Power Plant Size (MW) or Share]]*0.593*9057*211.9*10^(-9)</f>
        <v>2.1886014075000002E-2</v>
      </c>
      <c r="P506" s="337">
        <f>CompletedProjects[[#This Row],[Annual Emissions (MMTCO2)]]*40</f>
        <v>0.87544056300000006</v>
      </c>
      <c r="Q506" s="176"/>
      <c r="R506" s="178" t="s">
        <v>540</v>
      </c>
      <c r="S506" s="167"/>
      <c r="T506" s="178"/>
      <c r="U506" s="145"/>
      <c r="V506" s="144"/>
      <c r="Y506" s="145"/>
    </row>
    <row r="507" spans="1:25" s="82" customFormat="1" ht="100.35">
      <c r="A507" s="167" t="s">
        <v>75</v>
      </c>
      <c r="B507" s="167" t="s">
        <v>513</v>
      </c>
      <c r="C507" s="167" t="s">
        <v>464</v>
      </c>
      <c r="D507" s="172">
        <f>379060000*'Dev Bank Share by Country'!$C$65</f>
        <v>17512572</v>
      </c>
      <c r="E507" s="173" t="s">
        <v>429</v>
      </c>
      <c r="F507" s="173" t="s">
        <v>430</v>
      </c>
      <c r="G507" s="262" t="s">
        <v>779</v>
      </c>
      <c r="H507" s="173" t="s">
        <v>431</v>
      </c>
      <c r="I507" s="180" t="s">
        <v>283</v>
      </c>
      <c r="J507" s="173" t="s">
        <v>26</v>
      </c>
      <c r="K507" s="241">
        <v>40115</v>
      </c>
      <c r="L507" s="173" t="s">
        <v>922</v>
      </c>
      <c r="M507" s="262"/>
      <c r="N507" s="337">
        <f>600/19/2</f>
        <v>15.789473684210526</v>
      </c>
      <c r="O507" s="461">
        <f>CompletedProjects[[#This Row],[Power Plant Size (MW) or Share]]*0.593*9057*211.9*10^(-9)</f>
        <v>1.7969569451052634E-2</v>
      </c>
      <c r="P507" s="337">
        <f>CompletedProjects[[#This Row],[Annual Emissions (MMTCO2)]]*40</f>
        <v>0.71878277804210533</v>
      </c>
      <c r="Q507" s="167"/>
      <c r="R507" s="178" t="s">
        <v>640</v>
      </c>
      <c r="S507" s="167" t="s">
        <v>633</v>
      </c>
      <c r="T507" s="178"/>
      <c r="U507" s="145"/>
      <c r="V507" s="144"/>
      <c r="Y507" s="145"/>
    </row>
    <row r="508" spans="1:25" ht="172">
      <c r="A508" s="167" t="s">
        <v>75</v>
      </c>
      <c r="B508" s="167" t="s">
        <v>512</v>
      </c>
      <c r="C508" s="167" t="s">
        <v>464</v>
      </c>
      <c r="D508" s="172">
        <f>12100000*'Dev Bank Share by Country'!$E$65</f>
        <v>662657.56871759461</v>
      </c>
      <c r="E508" s="173" t="s">
        <v>451</v>
      </c>
      <c r="F508" s="173" t="s">
        <v>452</v>
      </c>
      <c r="G508" s="262" t="s">
        <v>793</v>
      </c>
      <c r="H508" s="173" t="s">
        <v>453</v>
      </c>
      <c r="I508" s="173" t="s">
        <v>284</v>
      </c>
      <c r="J508" s="173" t="s">
        <v>1498</v>
      </c>
      <c r="K508" s="241">
        <v>41471</v>
      </c>
      <c r="L508" s="173" t="s">
        <v>926</v>
      </c>
      <c r="M508" s="262" t="s">
        <v>898</v>
      </c>
      <c r="N508" s="256"/>
      <c r="O508" s="461">
        <f>CompletedProjects[[#This Row],[Power Plant Size (MW) or Share]]*0.593*9057*211.9*10^(-9)</f>
        <v>0</v>
      </c>
      <c r="P508" s="337">
        <f>CompletedProjects[[#This Row],[Annual Emissions (MMTCO2)]]*40</f>
        <v>0</v>
      </c>
      <c r="Q508" s="167"/>
      <c r="R508" s="167" t="s">
        <v>400</v>
      </c>
      <c r="S508" s="167" t="s">
        <v>633</v>
      </c>
      <c r="T508" s="167" t="s">
        <v>537</v>
      </c>
      <c r="U508" s="2"/>
      <c r="V508" s="2"/>
      <c r="Y508" s="2"/>
    </row>
    <row r="509" spans="1:25" ht="215">
      <c r="A509" s="167" t="s">
        <v>75</v>
      </c>
      <c r="B509" s="167" t="s">
        <v>445</v>
      </c>
      <c r="C509" s="167" t="s">
        <v>464</v>
      </c>
      <c r="D509" s="172">
        <f>28000000*'Dev Bank Share by Country'!G65</f>
        <v>1406528.6593798674</v>
      </c>
      <c r="E509" s="173" t="s">
        <v>446</v>
      </c>
      <c r="F509" s="173" t="s">
        <v>447</v>
      </c>
      <c r="G509" s="262" t="s">
        <v>782</v>
      </c>
      <c r="H509" s="173" t="s">
        <v>201</v>
      </c>
      <c r="I509" s="173" t="s">
        <v>284</v>
      </c>
      <c r="J509" s="173" t="s">
        <v>1498</v>
      </c>
      <c r="K509" s="241">
        <v>41333</v>
      </c>
      <c r="L509" s="173" t="s">
        <v>832</v>
      </c>
      <c r="M509" s="262"/>
      <c r="N509" s="256">
        <f>750/19</f>
        <v>39.473684210526315</v>
      </c>
      <c r="O509" s="461">
        <f>CompletedProjects[[#This Row],[Power Plant Size (MW) or Share]]*0.593*9057*211.9*10^(-9)</f>
        <v>4.4923923627631576E-2</v>
      </c>
      <c r="P509" s="337">
        <f>CompletedProjects[[#This Row],[Annual Emissions (MMTCO2)]]*40</f>
        <v>1.7969569451052632</v>
      </c>
      <c r="Q509" s="167"/>
      <c r="R509" s="167" t="s">
        <v>639</v>
      </c>
      <c r="S509" s="167"/>
      <c r="T509" s="167"/>
      <c r="U509" s="2"/>
      <c r="V509" s="2"/>
      <c r="Y509" s="2"/>
    </row>
    <row r="510" spans="1:25" ht="86">
      <c r="A510" s="167" t="s">
        <v>75</v>
      </c>
      <c r="B510" s="167" t="s">
        <v>511</v>
      </c>
      <c r="C510" s="167" t="s">
        <v>464</v>
      </c>
      <c r="D510" s="172">
        <f>45500000*'Dev Bank Share by Country'!$G$65</f>
        <v>2285609.0714922845</v>
      </c>
      <c r="E510" s="173" t="s">
        <v>440</v>
      </c>
      <c r="F510" s="173" t="s">
        <v>441</v>
      </c>
      <c r="G510" s="262" t="s">
        <v>771</v>
      </c>
      <c r="H510" s="173" t="s">
        <v>442</v>
      </c>
      <c r="I510" s="173" t="s">
        <v>40</v>
      </c>
      <c r="J510" s="173" t="s">
        <v>443</v>
      </c>
      <c r="K510" s="241">
        <v>41060</v>
      </c>
      <c r="L510" s="173" t="s">
        <v>924</v>
      </c>
      <c r="M510" s="273"/>
      <c r="N510" s="256"/>
      <c r="O510" s="461">
        <f>CompletedProjects[[#This Row],[Power Plant Size (MW) or Share]]*0.593*9057*211.9*10^(-9)</f>
        <v>0</v>
      </c>
      <c r="P510" s="337">
        <f>CompletedProjects[[#This Row],[Annual Emissions (MMTCO2)]]*40</f>
        <v>0</v>
      </c>
      <c r="Q510" s="167"/>
      <c r="R510" s="167" t="s">
        <v>400</v>
      </c>
      <c r="S510" s="167" t="s">
        <v>465</v>
      </c>
      <c r="T510" s="167"/>
      <c r="U510" s="2"/>
      <c r="V510" s="2"/>
      <c r="Y510" s="2"/>
    </row>
    <row r="511" spans="1:25" s="9" customFormat="1" ht="51" customHeight="1">
      <c r="A511" s="167" t="s">
        <v>75</v>
      </c>
      <c r="B511" s="167" t="s">
        <v>512</v>
      </c>
      <c r="C511" s="167" t="s">
        <v>464</v>
      </c>
      <c r="D511" s="172">
        <f>200000000*'Dev Bank Share by Country'!$E$65</f>
        <v>10953017.664753629</v>
      </c>
      <c r="E511" s="173" t="s">
        <v>461</v>
      </c>
      <c r="F511" s="173" t="s">
        <v>462</v>
      </c>
      <c r="G511" s="262" t="s">
        <v>795</v>
      </c>
      <c r="H511" s="173" t="s">
        <v>442</v>
      </c>
      <c r="I511" s="173" t="s">
        <v>284</v>
      </c>
      <c r="J511" s="173" t="s">
        <v>1498</v>
      </c>
      <c r="K511" s="241">
        <v>41760</v>
      </c>
      <c r="L511" s="173" t="s">
        <v>831</v>
      </c>
      <c r="M511" s="262" t="s">
        <v>830</v>
      </c>
      <c r="N511" s="256"/>
      <c r="O511" s="461">
        <f>CompletedProjects[[#This Row],[Power Plant Size (MW) or Share]]*0.593*9057*211.9*10^(-9)</f>
        <v>0</v>
      </c>
      <c r="P511" s="337">
        <f>CompletedProjects[[#This Row],[Annual Emissions (MMTCO2)]]*40</f>
        <v>0</v>
      </c>
      <c r="Q511" s="167"/>
      <c r="R511" s="167" t="s">
        <v>400</v>
      </c>
      <c r="S511" s="167" t="s">
        <v>465</v>
      </c>
      <c r="T511" s="167"/>
    </row>
    <row r="512" spans="1:25" ht="114.7">
      <c r="A512" s="167" t="s">
        <v>75</v>
      </c>
      <c r="B512" s="167" t="s">
        <v>512</v>
      </c>
      <c r="C512" s="167" t="s">
        <v>464</v>
      </c>
      <c r="D512" s="172">
        <f>280000*'Dev Bank Share by Country'!$E$65</f>
        <v>15334.224730655082</v>
      </c>
      <c r="E512" s="173" t="s">
        <v>437</v>
      </c>
      <c r="F512" s="173" t="s">
        <v>438</v>
      </c>
      <c r="G512" s="262" t="s">
        <v>790</v>
      </c>
      <c r="H512" s="173" t="s">
        <v>439</v>
      </c>
      <c r="I512" s="173" t="s">
        <v>284</v>
      </c>
      <c r="J512" s="173" t="s">
        <v>1498</v>
      </c>
      <c r="K512" s="241">
        <v>41039</v>
      </c>
      <c r="L512" s="173" t="s">
        <v>897</v>
      </c>
      <c r="M512" s="273" t="s">
        <v>780</v>
      </c>
      <c r="N512" s="256"/>
      <c r="O512" s="461">
        <f>CompletedProjects[[#This Row],[Power Plant Size (MW) or Share]]*0.593*9057*211.9*10^(-9)</f>
        <v>0</v>
      </c>
      <c r="P512" s="337">
        <f>CompletedProjects[[#This Row],[Annual Emissions (MMTCO2)]]*40</f>
        <v>0</v>
      </c>
      <c r="Q512" s="167"/>
      <c r="R512" s="167" t="s">
        <v>400</v>
      </c>
      <c r="S512" s="167" t="s">
        <v>465</v>
      </c>
      <c r="T512" s="167"/>
      <c r="U512" s="2"/>
      <c r="V512" s="2"/>
      <c r="Y512" s="2"/>
    </row>
    <row r="513" spans="1:25" ht="43">
      <c r="A513" s="181" t="s">
        <v>75</v>
      </c>
      <c r="B513" s="182" t="s">
        <v>559</v>
      </c>
      <c r="C513" s="182" t="s">
        <v>464</v>
      </c>
      <c r="D513" s="172">
        <v>3109330.6907461486</v>
      </c>
      <c r="E513" s="173" t="s">
        <v>608</v>
      </c>
      <c r="F513" s="173" t="s">
        <v>609</v>
      </c>
      <c r="G513" s="262" t="s">
        <v>803</v>
      </c>
      <c r="H513" s="173" t="s">
        <v>368</v>
      </c>
      <c r="I513" s="180" t="s">
        <v>284</v>
      </c>
      <c r="J513" s="180" t="s">
        <v>284</v>
      </c>
      <c r="K513" s="240">
        <v>40869</v>
      </c>
      <c r="L513" s="173" t="s">
        <v>1694</v>
      </c>
      <c r="M513" s="262"/>
      <c r="N513" s="337"/>
      <c r="O513" s="461">
        <f>CompletedProjects[[#This Row],[Power Plant Size (MW) or Share]]*0.593*9057*211.9*10^(-9)</f>
        <v>0</v>
      </c>
      <c r="P513" s="337">
        <f>CompletedProjects[[#This Row],[Annual Emissions (MMTCO2)]]*40</f>
        <v>0</v>
      </c>
      <c r="Q513" s="176"/>
      <c r="R513" s="178"/>
      <c r="S513" s="167"/>
      <c r="T513" s="178"/>
      <c r="U513" s="2"/>
      <c r="V513" s="2"/>
      <c r="Y513" s="2"/>
    </row>
    <row r="514" spans="1:25" ht="57.35">
      <c r="A514" s="167" t="s">
        <v>75</v>
      </c>
      <c r="B514" s="182" t="s">
        <v>559</v>
      </c>
      <c r="C514" s="182" t="s">
        <v>464</v>
      </c>
      <c r="D514" s="172">
        <v>2616444.1960649067</v>
      </c>
      <c r="E514" s="173" t="s">
        <v>596</v>
      </c>
      <c r="F514" s="173" t="s">
        <v>597</v>
      </c>
      <c r="G514" s="262" t="s">
        <v>797</v>
      </c>
      <c r="H514" s="173" t="s">
        <v>493</v>
      </c>
      <c r="I514" s="180" t="s">
        <v>283</v>
      </c>
      <c r="J514" s="173" t="s">
        <v>277</v>
      </c>
      <c r="K514" s="240">
        <v>40052</v>
      </c>
      <c r="L514" s="269" t="s">
        <v>1690</v>
      </c>
      <c r="M514" s="262" t="s">
        <v>903</v>
      </c>
      <c r="N514" s="337"/>
      <c r="O514" s="461">
        <f>CompletedProjects[[#This Row],[Power Plant Size (MW) or Share]]*0.593*9057*211.9*10^(-9)</f>
        <v>0</v>
      </c>
      <c r="P514" s="337">
        <f>CompletedProjects[[#This Row],[Annual Emissions (MMTCO2)]]*40</f>
        <v>0</v>
      </c>
      <c r="Q514" s="176"/>
      <c r="R514" s="178"/>
      <c r="S514" s="167"/>
      <c r="T514" s="178"/>
      <c r="U514" s="2"/>
      <c r="V514" s="2"/>
      <c r="Y514" s="2"/>
    </row>
    <row r="515" spans="1:25" ht="172">
      <c r="A515" s="167" t="s">
        <v>75</v>
      </c>
      <c r="B515" s="167" t="s">
        <v>513</v>
      </c>
      <c r="C515" s="167" t="s">
        <v>464</v>
      </c>
      <c r="D515" s="172">
        <f>57000000*'Dev Bank Share by Country'!$C$65</f>
        <v>2633400</v>
      </c>
      <c r="E515" s="173" t="s">
        <v>415</v>
      </c>
      <c r="F515" s="173" t="s">
        <v>416</v>
      </c>
      <c r="G515" s="262" t="s">
        <v>772</v>
      </c>
      <c r="H515" s="173" t="s">
        <v>368</v>
      </c>
      <c r="I515" s="173" t="s">
        <v>40</v>
      </c>
      <c r="J515" s="173" t="s">
        <v>417</v>
      </c>
      <c r="K515" s="241">
        <v>39436</v>
      </c>
      <c r="L515" s="173" t="s">
        <v>918</v>
      </c>
      <c r="M515" s="273" t="s">
        <v>895</v>
      </c>
      <c r="N515" s="256"/>
      <c r="O515" s="461">
        <f>CompletedProjects[[#This Row],[Power Plant Size (MW) or Share]]*0.593*9057*211.9*10^(-9)</f>
        <v>0</v>
      </c>
      <c r="P515" s="337">
        <f>CompletedProjects[[#This Row],[Annual Emissions (MMTCO2)]]*40</f>
        <v>0</v>
      </c>
      <c r="Q515" s="167"/>
      <c r="R515" s="167" t="s">
        <v>400</v>
      </c>
      <c r="S515" s="167" t="s">
        <v>633</v>
      </c>
      <c r="T515" s="167"/>
      <c r="U515" s="2"/>
      <c r="V515" s="2"/>
      <c r="Y515" s="2"/>
    </row>
    <row r="516" spans="1:25" ht="172">
      <c r="A516" s="167" t="s">
        <v>65</v>
      </c>
      <c r="B516" s="171" t="s">
        <v>511</v>
      </c>
      <c r="C516" s="171" t="s">
        <v>464</v>
      </c>
      <c r="D516" s="172">
        <f>500000000*'Dev Bank Share by Country'!$G$77</f>
        <v>20058312.059926901</v>
      </c>
      <c r="E516" s="183" t="s">
        <v>454</v>
      </c>
      <c r="F516" s="183" t="s">
        <v>514</v>
      </c>
      <c r="G516" s="262" t="s">
        <v>783</v>
      </c>
      <c r="H516" s="183" t="s">
        <v>515</v>
      </c>
      <c r="I516" s="180" t="s">
        <v>283</v>
      </c>
      <c r="J516" s="183" t="s">
        <v>26</v>
      </c>
      <c r="K516" s="242">
        <v>41760</v>
      </c>
      <c r="L516" s="183" t="s">
        <v>833</v>
      </c>
      <c r="M516" s="262"/>
      <c r="N516" s="337">
        <f>(270+450)/19</f>
        <v>37.89473684210526</v>
      </c>
      <c r="O516" s="461">
        <f>CompletedProjects[[#This Row],[Power Plant Size (MW) or Share]]*0.593*9057*211.9*10^(-9)</f>
        <v>4.3126966682526316E-2</v>
      </c>
      <c r="P516" s="337">
        <f>CompletedProjects[[#This Row],[Annual Emissions (MMTCO2)]]*40</f>
        <v>1.7250786673010525</v>
      </c>
      <c r="Q516" s="176"/>
      <c r="R516" s="178" t="s">
        <v>639</v>
      </c>
      <c r="S516" s="167" t="s">
        <v>465</v>
      </c>
      <c r="T516" s="178"/>
      <c r="U516" s="2"/>
      <c r="V516" s="2"/>
      <c r="Y516" s="2"/>
    </row>
    <row r="517" spans="1:25" ht="172">
      <c r="A517" s="167" t="s">
        <v>65</v>
      </c>
      <c r="B517" s="167" t="s">
        <v>401</v>
      </c>
      <c r="C517" s="182" t="s">
        <v>464</v>
      </c>
      <c r="D517" s="172">
        <f>1120000*'Dev Bank Share by Country'!$E$77</f>
        <v>33220.722717950455</v>
      </c>
      <c r="E517" s="173" t="s">
        <v>402</v>
      </c>
      <c r="F517" s="173" t="s">
        <v>403</v>
      </c>
      <c r="G517" s="262" t="s">
        <v>785</v>
      </c>
      <c r="H517" s="173" t="s">
        <v>404</v>
      </c>
      <c r="I517" s="173" t="s">
        <v>284</v>
      </c>
      <c r="J517" s="173" t="s">
        <v>1498</v>
      </c>
      <c r="K517" s="241">
        <v>39224</v>
      </c>
      <c r="L517" s="173" t="s">
        <v>826</v>
      </c>
      <c r="M517" s="262" t="s">
        <v>785</v>
      </c>
      <c r="N517" s="256"/>
      <c r="O517" s="461">
        <f>CompletedProjects[[#This Row],[Power Plant Size (MW) or Share]]*0.593*9057*211.9*10^(-9)</f>
        <v>0</v>
      </c>
      <c r="P517" s="337">
        <f>CompletedProjects[[#This Row],[Annual Emissions (MMTCO2)]]*40</f>
        <v>0</v>
      </c>
      <c r="Q517" s="167"/>
      <c r="R517" s="167" t="s">
        <v>400</v>
      </c>
      <c r="S517" s="167" t="s">
        <v>633</v>
      </c>
      <c r="T517" s="167" t="s">
        <v>537</v>
      </c>
      <c r="U517" s="2"/>
      <c r="V517" s="2"/>
      <c r="Y517" s="2"/>
    </row>
    <row r="518" spans="1:25" ht="172">
      <c r="A518" s="167" t="s">
        <v>65</v>
      </c>
      <c r="B518" s="167" t="s">
        <v>401</v>
      </c>
      <c r="C518" s="182" t="s">
        <v>464</v>
      </c>
      <c r="D518" s="172">
        <f>4200000*'Dev Bank Share by Country'!$E$77</f>
        <v>124577.7101923142</v>
      </c>
      <c r="E518" s="173" t="s">
        <v>448</v>
      </c>
      <c r="F518" s="173" t="s">
        <v>449</v>
      </c>
      <c r="G518" s="262" t="s">
        <v>792</v>
      </c>
      <c r="H518" s="173" t="s">
        <v>450</v>
      </c>
      <c r="I518" s="173" t="s">
        <v>40</v>
      </c>
      <c r="J518" s="173" t="s">
        <v>1502</v>
      </c>
      <c r="K518" s="241">
        <v>41404</v>
      </c>
      <c r="L518" s="173" t="s">
        <v>925</v>
      </c>
      <c r="M518" s="262"/>
      <c r="N518" s="256"/>
      <c r="O518" s="461">
        <f>CompletedProjects[[#This Row],[Power Plant Size (MW) or Share]]*0.593*9057*211.9*10^(-9)</f>
        <v>0</v>
      </c>
      <c r="P518" s="337">
        <f>CompletedProjects[[#This Row],[Annual Emissions (MMTCO2)]]*40</f>
        <v>0</v>
      </c>
      <c r="Q518" s="167"/>
      <c r="R518" s="167" t="s">
        <v>400</v>
      </c>
      <c r="S518" s="167" t="s">
        <v>465</v>
      </c>
      <c r="T518" s="167"/>
      <c r="U518" s="2"/>
      <c r="V518" s="2"/>
      <c r="Y518" s="2"/>
    </row>
    <row r="519" spans="1:25" ht="100.35">
      <c r="A519" s="167" t="s">
        <v>65</v>
      </c>
      <c r="B519" s="167" t="s">
        <v>511</v>
      </c>
      <c r="C519" s="167" t="s">
        <v>464</v>
      </c>
      <c r="D519" s="172">
        <f>25000000*'Dev Bank Share by Country'!$G$77</f>
        <v>1002915.6029963451</v>
      </c>
      <c r="E519" s="173" t="s">
        <v>398</v>
      </c>
      <c r="F519" s="173" t="s">
        <v>398</v>
      </c>
      <c r="G519" s="262" t="s">
        <v>787</v>
      </c>
      <c r="H519" s="173" t="s">
        <v>65</v>
      </c>
      <c r="I519" s="180" t="s">
        <v>283</v>
      </c>
      <c r="J519" s="173" t="s">
        <v>26</v>
      </c>
      <c r="K519" s="241">
        <v>39204</v>
      </c>
      <c r="L519" s="173" t="s">
        <v>915</v>
      </c>
      <c r="M519" s="262"/>
      <c r="N519" s="256">
        <f>30/20</f>
        <v>1.5</v>
      </c>
      <c r="O519" s="461">
        <f>CompletedProjects[[#This Row],[Power Plant Size (MW) or Share]]*0.593*9057*211.9*10^(-9)</f>
        <v>1.7071090978499999E-3</v>
      </c>
      <c r="P519" s="337">
        <f>CompletedProjects[[#This Row],[Annual Emissions (MMTCO2)]]*40</f>
        <v>6.8284363914000001E-2</v>
      </c>
      <c r="Q519" s="176"/>
      <c r="R519" s="167" t="s">
        <v>635</v>
      </c>
      <c r="S519" s="167" t="s">
        <v>465</v>
      </c>
      <c r="T519" s="167"/>
      <c r="U519" s="2"/>
      <c r="V519" s="2"/>
      <c r="Y519" s="2"/>
    </row>
    <row r="520" spans="1:25" ht="57.35">
      <c r="A520" s="167" t="s">
        <v>65</v>
      </c>
      <c r="B520" s="186" t="s">
        <v>519</v>
      </c>
      <c r="C520" s="167" t="s">
        <v>464</v>
      </c>
      <c r="D520" s="172">
        <f>500000*'Dev Bank Share by Country'!$K$77</f>
        <v>31690.000000000004</v>
      </c>
      <c r="E520" s="173" t="s">
        <v>531</v>
      </c>
      <c r="F520" s="173" t="s">
        <v>532</v>
      </c>
      <c r="G520" s="262"/>
      <c r="H520" s="173" t="s">
        <v>239</v>
      </c>
      <c r="I520" s="180" t="s">
        <v>283</v>
      </c>
      <c r="J520" s="173" t="s">
        <v>26</v>
      </c>
      <c r="K520" s="241">
        <v>40035</v>
      </c>
      <c r="L520" s="178" t="s">
        <v>1322</v>
      </c>
      <c r="M520" s="262"/>
      <c r="N520" s="337">
        <f>600/13</f>
        <v>46.153846153846153</v>
      </c>
      <c r="O520" s="461">
        <f>CompletedProjects[[#This Row],[Power Plant Size (MW) or Share]]*0.593*9057*211.9*10^(-9)</f>
        <v>5.2526433780000006E-2</v>
      </c>
      <c r="P520" s="337">
        <f>CompletedProjects[[#This Row],[Annual Emissions (MMTCO2)]]*40</f>
        <v>2.1010573512000001</v>
      </c>
      <c r="Q520" s="176"/>
      <c r="R520" s="178" t="s">
        <v>524</v>
      </c>
      <c r="S520" s="167"/>
      <c r="T520" s="178"/>
      <c r="U520" s="2"/>
      <c r="V520" s="2"/>
      <c r="Y520" s="2"/>
    </row>
    <row r="521" spans="1:25" ht="229.35">
      <c r="A521" s="167" t="s">
        <v>65</v>
      </c>
      <c r="B521" s="167" t="s">
        <v>513</v>
      </c>
      <c r="C521" s="167" t="s">
        <v>464</v>
      </c>
      <c r="D521" s="172">
        <f>1000000000*'Dev Bank Share by Country'!$C$77</f>
        <v>32099999.999999996</v>
      </c>
      <c r="E521" s="173" t="s">
        <v>425</v>
      </c>
      <c r="F521" s="173" t="s">
        <v>427</v>
      </c>
      <c r="G521" s="262" t="s">
        <v>778</v>
      </c>
      <c r="H521" s="173" t="s">
        <v>65</v>
      </c>
      <c r="I521" s="173" t="s">
        <v>1507</v>
      </c>
      <c r="J521" s="173" t="s">
        <v>428</v>
      </c>
      <c r="K521" s="241">
        <v>40078</v>
      </c>
      <c r="L521" s="173" t="s">
        <v>824</v>
      </c>
      <c r="M521" s="262"/>
      <c r="N521" s="256"/>
      <c r="O521" s="461">
        <f>CompletedProjects[[#This Row],[Power Plant Size (MW) or Share]]*0.593*9057*211.9*10^(-9)</f>
        <v>0</v>
      </c>
      <c r="P521" s="337">
        <f>CompletedProjects[[#This Row],[Annual Emissions (MMTCO2)]]*40</f>
        <v>0</v>
      </c>
      <c r="Q521" s="167"/>
      <c r="R521" s="167" t="s">
        <v>400</v>
      </c>
      <c r="S521" s="167" t="s">
        <v>465</v>
      </c>
      <c r="T521" s="167"/>
      <c r="U521" s="2"/>
      <c r="V521" s="2"/>
      <c r="Y521" s="2"/>
    </row>
    <row r="522" spans="1:25" ht="100.35">
      <c r="A522" s="167" t="s">
        <v>65</v>
      </c>
      <c r="B522" s="171" t="s">
        <v>511</v>
      </c>
      <c r="C522" s="171" t="s">
        <v>464</v>
      </c>
      <c r="D522" s="172">
        <f>46500000*'Dev Bank Share by Country'!$G$77</f>
        <v>1865423.021573202</v>
      </c>
      <c r="E522" s="173" t="s">
        <v>423</v>
      </c>
      <c r="F522" s="173" t="s">
        <v>424</v>
      </c>
      <c r="G522" s="262" t="s">
        <v>774</v>
      </c>
      <c r="H522" s="173" t="s">
        <v>65</v>
      </c>
      <c r="I522" s="173" t="s">
        <v>284</v>
      </c>
      <c r="J522" s="173" t="s">
        <v>79</v>
      </c>
      <c r="K522" s="241">
        <v>39898</v>
      </c>
      <c r="L522" s="173" t="s">
        <v>920</v>
      </c>
      <c r="M522" s="273"/>
      <c r="N522" s="256"/>
      <c r="O522" s="461">
        <f>CompletedProjects[[#This Row],[Power Plant Size (MW) or Share]]*0.593*9057*211.9*10^(-9)</f>
        <v>0</v>
      </c>
      <c r="P522" s="337">
        <f>CompletedProjects[[#This Row],[Annual Emissions (MMTCO2)]]*40</f>
        <v>0</v>
      </c>
      <c r="Q522" s="167"/>
      <c r="R522" s="167" t="s">
        <v>400</v>
      </c>
      <c r="S522" s="167" t="s">
        <v>465</v>
      </c>
      <c r="T522" s="167"/>
      <c r="U522" s="2"/>
      <c r="V522" s="2"/>
      <c r="Y522" s="2"/>
    </row>
    <row r="523" spans="1:25" ht="43">
      <c r="A523" s="167" t="s">
        <v>65</v>
      </c>
      <c r="B523" s="182" t="s">
        <v>511</v>
      </c>
      <c r="C523" s="182" t="s">
        <v>464</v>
      </c>
      <c r="D523" s="172">
        <f>740000000*'Dev Bank Share by Country'!$G$77</f>
        <v>29686301.848691814</v>
      </c>
      <c r="E523" s="173" t="s">
        <v>418</v>
      </c>
      <c r="F523" s="173" t="s">
        <v>419</v>
      </c>
      <c r="G523" s="262" t="s">
        <v>765</v>
      </c>
      <c r="H523" s="173" t="s">
        <v>144</v>
      </c>
      <c r="I523" s="180" t="s">
        <v>283</v>
      </c>
      <c r="J523" s="183" t="s">
        <v>26</v>
      </c>
      <c r="K523" s="241">
        <v>39520</v>
      </c>
      <c r="L523" s="202" t="s">
        <v>817</v>
      </c>
      <c r="M523" s="262"/>
      <c r="N523" s="256">
        <f>330/19</f>
        <v>17.368421052631579</v>
      </c>
      <c r="O523" s="461">
        <f>CompletedProjects[[#This Row],[Power Plant Size (MW) or Share]]*0.593*9057*211.9*10^(-9)</f>
        <v>1.9766526396157894E-2</v>
      </c>
      <c r="P523" s="337">
        <f>CompletedProjects[[#This Row],[Annual Emissions (MMTCO2)]]*40</f>
        <v>0.79066105584631574</v>
      </c>
      <c r="Q523" s="176"/>
      <c r="R523" s="167" t="s">
        <v>400</v>
      </c>
      <c r="S523" s="167" t="s">
        <v>633</v>
      </c>
      <c r="T523" s="167"/>
      <c r="U523" s="2"/>
      <c r="V523" s="2"/>
      <c r="Y523" s="2"/>
    </row>
    <row r="524" spans="1:25" ht="157.69999999999999">
      <c r="A524" s="167" t="s">
        <v>65</v>
      </c>
      <c r="B524" s="167" t="s">
        <v>513</v>
      </c>
      <c r="C524" s="182" t="s">
        <v>464</v>
      </c>
      <c r="D524" s="172">
        <f>180000000*'Dev Bank Share by Country'!$C$77</f>
        <v>5777999.9999999991</v>
      </c>
      <c r="E524" s="173" t="s">
        <v>425</v>
      </c>
      <c r="F524" s="173" t="s">
        <v>426</v>
      </c>
      <c r="G524" s="262" t="s">
        <v>770</v>
      </c>
      <c r="H524" s="173" t="s">
        <v>65</v>
      </c>
      <c r="I524" s="180" t="s">
        <v>283</v>
      </c>
      <c r="J524" s="173" t="s">
        <v>277</v>
      </c>
      <c r="K524" s="241">
        <v>39982</v>
      </c>
      <c r="L524" s="173" t="s">
        <v>1503</v>
      </c>
      <c r="M524" s="273"/>
      <c r="N524" s="256">
        <f>420/19</f>
        <v>22.105263157894736</v>
      </c>
      <c r="O524" s="461">
        <f>CompletedProjects[[#This Row],[Power Plant Size (MW) or Share]]*0.593*9057*211.9*10^(-9)</f>
        <v>2.5157397231473682E-2</v>
      </c>
      <c r="P524" s="337">
        <f>CompletedProjects[[#This Row],[Annual Emissions (MMTCO2)]]*40</f>
        <v>1.0062958892589473</v>
      </c>
      <c r="Q524" s="167"/>
      <c r="R524" s="167" t="s">
        <v>638</v>
      </c>
      <c r="S524" s="167" t="s">
        <v>466</v>
      </c>
      <c r="T524" s="167"/>
      <c r="U524" s="2"/>
      <c r="V524" s="2"/>
      <c r="Y524" s="2"/>
    </row>
    <row r="525" spans="1:25" ht="71.7">
      <c r="A525" s="167" t="s">
        <v>65</v>
      </c>
      <c r="B525" s="186" t="s">
        <v>519</v>
      </c>
      <c r="C525" s="167" t="s">
        <v>464</v>
      </c>
      <c r="D525" s="172">
        <f>350000*'Dev Bank Share by Country'!$K$77</f>
        <v>22183.000000000004</v>
      </c>
      <c r="E525" s="173" t="s">
        <v>542</v>
      </c>
      <c r="F525" s="173" t="s">
        <v>543</v>
      </c>
      <c r="G525" s="262"/>
      <c r="H525" s="173" t="s">
        <v>201</v>
      </c>
      <c r="I525" s="173" t="s">
        <v>40</v>
      </c>
      <c r="J525" s="173" t="s">
        <v>40</v>
      </c>
      <c r="K525" s="241">
        <v>41977</v>
      </c>
      <c r="L525" s="173" t="s">
        <v>1713</v>
      </c>
      <c r="M525" s="262" t="s">
        <v>805</v>
      </c>
      <c r="N525" s="102"/>
      <c r="O525" s="461">
        <f>CompletedProjects[[#This Row],[Power Plant Size (MW) or Share]]*0.593*9057*211.9*10^(-9)</f>
        <v>0</v>
      </c>
      <c r="P525" s="337">
        <f>CompletedProjects[[#This Row],[Annual Emissions (MMTCO2)]]*40</f>
        <v>0</v>
      </c>
      <c r="Q525" s="173"/>
      <c r="R525" s="178"/>
      <c r="S525" s="167"/>
      <c r="T525" s="178"/>
      <c r="U525" s="30"/>
    </row>
    <row r="526" spans="1:25" ht="258">
      <c r="A526" s="167" t="s">
        <v>65</v>
      </c>
      <c r="B526" s="167" t="s">
        <v>401</v>
      </c>
      <c r="C526" s="182" t="s">
        <v>464</v>
      </c>
      <c r="D526" s="172">
        <f>11000000*'Dev Bank Share by Country'!$E$77</f>
        <v>326274.95526558481</v>
      </c>
      <c r="E526" s="173" t="s">
        <v>420</v>
      </c>
      <c r="F526" s="173" t="s">
        <v>421</v>
      </c>
      <c r="G526" s="262" t="s">
        <v>769</v>
      </c>
      <c r="H526" s="173" t="s">
        <v>422</v>
      </c>
      <c r="I526" s="180" t="s">
        <v>283</v>
      </c>
      <c r="J526" s="173" t="s">
        <v>277</v>
      </c>
      <c r="K526" s="241">
        <v>39777</v>
      </c>
      <c r="L526" s="197"/>
      <c r="M526" s="273"/>
      <c r="N526" s="256"/>
      <c r="O526" s="461">
        <f>CompletedProjects[[#This Row],[Power Plant Size (MW) or Share]]*0.593*9057*211.9*10^(-9)</f>
        <v>0</v>
      </c>
      <c r="P526" s="337">
        <f>CompletedProjects[[#This Row],[Annual Emissions (MMTCO2)]]*40</f>
        <v>0</v>
      </c>
      <c r="Q526" s="167"/>
      <c r="R526" s="173" t="s">
        <v>834</v>
      </c>
      <c r="S526" s="167" t="s">
        <v>633</v>
      </c>
      <c r="T526" s="173"/>
      <c r="U526" s="30"/>
    </row>
    <row r="527" spans="1:25" ht="71.7">
      <c r="A527" s="167" t="s">
        <v>65</v>
      </c>
      <c r="B527" s="186" t="s">
        <v>519</v>
      </c>
      <c r="C527" s="167" t="s">
        <v>464</v>
      </c>
      <c r="D527" s="172">
        <f>900525000*'Dev Bank Share by Country'!$K$77</f>
        <v>57075274.500000007</v>
      </c>
      <c r="E527" s="173" t="s">
        <v>510</v>
      </c>
      <c r="F527" s="173" t="s">
        <v>541</v>
      </c>
      <c r="G527" s="262"/>
      <c r="H527" s="173" t="s">
        <v>442</v>
      </c>
      <c r="I527" s="180" t="s">
        <v>283</v>
      </c>
      <c r="J527" s="173" t="s">
        <v>26</v>
      </c>
      <c r="K527" s="241">
        <v>41617</v>
      </c>
      <c r="L527" s="178" t="s">
        <v>1712</v>
      </c>
      <c r="M527" s="262" t="s">
        <v>902</v>
      </c>
      <c r="N527" s="337">
        <f>600/13</f>
        <v>46.153846153846153</v>
      </c>
      <c r="O527" s="461">
        <f>CompletedProjects[[#This Row],[Power Plant Size (MW) or Share]]*0.593*9057*211.9*10^(-9)</f>
        <v>5.2526433780000006E-2</v>
      </c>
      <c r="P527" s="337">
        <f>CompletedProjects[[#This Row],[Annual Emissions (MMTCO2)]]*40</f>
        <v>2.1010573512000001</v>
      </c>
      <c r="Q527" s="176"/>
      <c r="R527" s="178" t="s">
        <v>524</v>
      </c>
      <c r="S527" s="167"/>
      <c r="T527" s="178"/>
      <c r="U527" s="30"/>
    </row>
    <row r="528" spans="1:25" ht="28.7">
      <c r="A528" s="181" t="s">
        <v>65</v>
      </c>
      <c r="B528" s="182" t="s">
        <v>519</v>
      </c>
      <c r="C528" s="182" t="s">
        <v>464</v>
      </c>
      <c r="D528" s="172">
        <f>70500000*'Dev Bank Share by Country'!$K$77</f>
        <v>4468290</v>
      </c>
      <c r="E528" s="183" t="s">
        <v>1400</v>
      </c>
      <c r="F528" s="183" t="s">
        <v>1399</v>
      </c>
      <c r="G528" s="267" t="s">
        <v>1401</v>
      </c>
      <c r="H528" s="183" t="s">
        <v>273</v>
      </c>
      <c r="I528" s="180" t="s">
        <v>283</v>
      </c>
      <c r="J528" s="183" t="s">
        <v>26</v>
      </c>
      <c r="K528" s="242">
        <v>40813</v>
      </c>
      <c r="L528" s="183" t="s">
        <v>1711</v>
      </c>
      <c r="M528" s="267"/>
      <c r="N528" s="338"/>
      <c r="O528" s="461">
        <f>CompletedProjects[[#This Row],[Power Plant Size (MW) or Share]]*0.593*9057*211.9*10^(-9)</f>
        <v>0</v>
      </c>
      <c r="P528" s="337">
        <f>CompletedProjects[[#This Row],[Annual Emissions (MMTCO2)]]*40</f>
        <v>0</v>
      </c>
      <c r="Q528" s="169"/>
      <c r="R528" s="185"/>
      <c r="S528" s="181"/>
      <c r="T528" s="185"/>
      <c r="U528" s="30"/>
    </row>
    <row r="529" spans="1:25" ht="57.35">
      <c r="A529" s="167" t="s">
        <v>65</v>
      </c>
      <c r="B529" s="186" t="s">
        <v>519</v>
      </c>
      <c r="C529" s="167" t="s">
        <v>464</v>
      </c>
      <c r="D529" s="172">
        <f>200000000*'Dev Bank Share by Country'!$K$77</f>
        <v>12676000.000000002</v>
      </c>
      <c r="E529" s="173" t="s">
        <v>413</v>
      </c>
      <c r="F529" s="173" t="s">
        <v>523</v>
      </c>
      <c r="G529" s="262"/>
      <c r="H529" s="173" t="s">
        <v>95</v>
      </c>
      <c r="I529" s="180" t="s">
        <v>283</v>
      </c>
      <c r="J529" s="173" t="s">
        <v>277</v>
      </c>
      <c r="K529" s="241">
        <v>39554</v>
      </c>
      <c r="L529" s="167" t="s">
        <v>1319</v>
      </c>
      <c r="M529" s="262"/>
      <c r="N529" s="256">
        <f>600/13/2</f>
        <v>23.076923076923077</v>
      </c>
      <c r="O529" s="461">
        <f>CompletedProjects[[#This Row],[Power Plant Size (MW) or Share]]*0.593*9057*211.9*10^(-9)</f>
        <v>2.6263216890000003E-2</v>
      </c>
      <c r="P529" s="337">
        <f>CompletedProjects[[#This Row],[Annual Emissions (MMTCO2)]]*40</f>
        <v>1.0505286756000001</v>
      </c>
      <c r="Q529" s="203"/>
      <c r="R529" s="167" t="s">
        <v>641</v>
      </c>
      <c r="S529" s="167"/>
      <c r="T529" s="167"/>
      <c r="U529" s="30"/>
    </row>
    <row r="530" spans="1:25" ht="43">
      <c r="A530" s="167" t="s">
        <v>65</v>
      </c>
      <c r="B530" s="186" t="s">
        <v>519</v>
      </c>
      <c r="C530" s="167" t="s">
        <v>464</v>
      </c>
      <c r="D530" s="172">
        <f>27860000*'Dev Bank Share by Country'!$K$77</f>
        <v>1765766.8</v>
      </c>
      <c r="E530" s="173" t="s">
        <v>520</v>
      </c>
      <c r="F530" s="173" t="s">
        <v>521</v>
      </c>
      <c r="G530" s="262"/>
      <c r="H530" s="173" t="s">
        <v>63</v>
      </c>
      <c r="I530" s="180" t="s">
        <v>283</v>
      </c>
      <c r="J530" s="173" t="s">
        <v>26</v>
      </c>
      <c r="K530" s="241">
        <v>39357</v>
      </c>
      <c r="L530" s="167" t="s">
        <v>1320</v>
      </c>
      <c r="M530" s="262"/>
      <c r="N530" s="256">
        <f>1080/13</f>
        <v>83.07692307692308</v>
      </c>
      <c r="O530" s="461">
        <f>CompletedProjects[[#This Row],[Power Plant Size (MW) or Share]]*0.593*9057*211.9*10^(-9)</f>
        <v>9.4547580804000012E-2</v>
      </c>
      <c r="P530" s="337">
        <f>CompletedProjects[[#This Row],[Annual Emissions (MMTCO2)]]*40</f>
        <v>3.7819032321600003</v>
      </c>
      <c r="Q530" s="203"/>
      <c r="R530" s="167" t="s">
        <v>522</v>
      </c>
      <c r="S530" s="167"/>
      <c r="T530" s="167"/>
      <c r="U530" s="30"/>
    </row>
    <row r="531" spans="1:25" ht="86">
      <c r="A531" s="167" t="s">
        <v>65</v>
      </c>
      <c r="B531" s="182" t="s">
        <v>511</v>
      </c>
      <c r="C531" s="182" t="s">
        <v>464</v>
      </c>
      <c r="D531" s="172">
        <f>8000000*'Dev Bank Share by Country'!$G$77</f>
        <v>320932.99295883044</v>
      </c>
      <c r="E531" s="173" t="s">
        <v>405</v>
      </c>
      <c r="F531" s="173" t="s">
        <v>406</v>
      </c>
      <c r="G531" s="262" t="s">
        <v>786</v>
      </c>
      <c r="H531" s="173" t="s">
        <v>65</v>
      </c>
      <c r="I531" s="180" t="s">
        <v>283</v>
      </c>
      <c r="J531" s="173" t="s">
        <v>26</v>
      </c>
      <c r="K531" s="241">
        <v>39234</v>
      </c>
      <c r="L531" s="173" t="s">
        <v>815</v>
      </c>
      <c r="M531" s="262" t="s">
        <v>806</v>
      </c>
      <c r="N531" s="256">
        <f>600/19</f>
        <v>31.578947368421051</v>
      </c>
      <c r="O531" s="461">
        <f>CompletedProjects[[#This Row],[Power Plant Size (MW) or Share]]*0.593*9057*211.9*10^(-9)</f>
        <v>3.5939138902105268E-2</v>
      </c>
      <c r="P531" s="337">
        <f>CompletedProjects[[#This Row],[Annual Emissions (MMTCO2)]]*40</f>
        <v>1.4375655560842107</v>
      </c>
      <c r="Q531" s="167"/>
      <c r="R531" s="167" t="s">
        <v>467</v>
      </c>
      <c r="S531" s="167" t="s">
        <v>633</v>
      </c>
      <c r="T531" s="167"/>
      <c r="U531" s="30"/>
    </row>
    <row r="532" spans="1:25" ht="272.35000000000002">
      <c r="A532" s="167" t="s">
        <v>65</v>
      </c>
      <c r="B532" s="167" t="s">
        <v>513</v>
      </c>
      <c r="C532" s="171" t="s">
        <v>464</v>
      </c>
      <c r="D532" s="172">
        <f>29600000*'Dev Bank Share by Country'!$C$77</f>
        <v>950159.99999999988</v>
      </c>
      <c r="E532" s="173" t="s">
        <v>266</v>
      </c>
      <c r="F532" s="173" t="s">
        <v>444</v>
      </c>
      <c r="G532" s="262" t="s">
        <v>781</v>
      </c>
      <c r="H532" s="173" t="s">
        <v>85</v>
      </c>
      <c r="I532" s="173" t="s">
        <v>284</v>
      </c>
      <c r="J532" s="173" t="s">
        <v>1498</v>
      </c>
      <c r="K532" s="241">
        <v>41163</v>
      </c>
      <c r="L532" s="173" t="s">
        <v>825</v>
      </c>
      <c r="M532" s="262"/>
      <c r="N532" s="256"/>
      <c r="O532" s="461">
        <f>CompletedProjects[[#This Row],[Power Plant Size (MW) or Share]]*0.593*9057*211.9*10^(-9)</f>
        <v>0</v>
      </c>
      <c r="P532" s="337">
        <f>CompletedProjects[[#This Row],[Annual Emissions (MMTCO2)]]*40</f>
        <v>0</v>
      </c>
      <c r="Q532" s="167"/>
      <c r="R532" s="167" t="s">
        <v>400</v>
      </c>
      <c r="S532" s="167" t="s">
        <v>465</v>
      </c>
      <c r="T532" s="167"/>
      <c r="U532" s="30"/>
    </row>
    <row r="533" spans="1:25" ht="71.7">
      <c r="A533" s="167" t="s">
        <v>65</v>
      </c>
      <c r="B533" s="186" t="s">
        <v>519</v>
      </c>
      <c r="C533" s="167" t="s">
        <v>464</v>
      </c>
      <c r="D533" s="172">
        <f>902850000*'Dev Bank Share by Country'!$K$77</f>
        <v>57222633.000000007</v>
      </c>
      <c r="E533" s="173" t="s">
        <v>91</v>
      </c>
      <c r="F533" s="173" t="s">
        <v>536</v>
      </c>
      <c r="G533" s="262"/>
      <c r="H533" s="173" t="s">
        <v>63</v>
      </c>
      <c r="I533" s="180" t="s">
        <v>283</v>
      </c>
      <c r="J533" s="173" t="s">
        <v>26</v>
      </c>
      <c r="K533" s="241">
        <v>40168</v>
      </c>
      <c r="L533" s="173" t="s">
        <v>1323</v>
      </c>
      <c r="M533" s="262"/>
      <c r="N533" s="337"/>
      <c r="O533" s="461">
        <f>CompletedProjects[[#This Row],[Power Plant Size (MW) or Share]]*0.593*9057*211.9*10^(-9)</f>
        <v>0</v>
      </c>
      <c r="P533" s="337">
        <f>CompletedProjects[[#This Row],[Annual Emissions (MMTCO2)]]*40</f>
        <v>0</v>
      </c>
      <c r="Q533" s="176"/>
      <c r="R533" s="178" t="s">
        <v>537</v>
      </c>
      <c r="S533" s="167"/>
      <c r="T533" s="178"/>
      <c r="U533" s="30"/>
    </row>
    <row r="534" spans="1:25" ht="114.7">
      <c r="A534" s="167" t="s">
        <v>65</v>
      </c>
      <c r="B534" s="171" t="s">
        <v>511</v>
      </c>
      <c r="C534" s="171" t="s">
        <v>464</v>
      </c>
      <c r="D534" s="172">
        <f>275000000*'Dev Bank Share by Country'!$G$77</f>
        <v>11032071.632959796</v>
      </c>
      <c r="E534" s="173" t="s">
        <v>413</v>
      </c>
      <c r="F534" s="173" t="s">
        <v>413</v>
      </c>
      <c r="G534" s="262" t="s">
        <v>766</v>
      </c>
      <c r="H534" s="173" t="s">
        <v>95</v>
      </c>
      <c r="I534" s="180" t="s">
        <v>283</v>
      </c>
      <c r="J534" s="173" t="s">
        <v>277</v>
      </c>
      <c r="K534" s="241">
        <v>39394</v>
      </c>
      <c r="L534" s="173" t="s">
        <v>917</v>
      </c>
      <c r="M534" s="262"/>
      <c r="N534" s="256">
        <f>600/7/2</f>
        <v>42.857142857142854</v>
      </c>
      <c r="O534" s="461">
        <f>CompletedProjects[[#This Row],[Power Plant Size (MW) or Share]]*0.593*9057*211.9*10^(-9)</f>
        <v>4.8774545652857132E-2</v>
      </c>
      <c r="P534" s="337">
        <f>CompletedProjects[[#This Row],[Annual Emissions (MMTCO2)]]*40</f>
        <v>1.9509818261142853</v>
      </c>
      <c r="Q534" s="167"/>
      <c r="R534" s="167" t="s">
        <v>640</v>
      </c>
      <c r="S534" s="167" t="s">
        <v>465</v>
      </c>
      <c r="T534" s="167"/>
      <c r="U534" s="30"/>
    </row>
    <row r="535" spans="1:25" s="86" customFormat="1" ht="28.7">
      <c r="A535" s="173" t="s">
        <v>65</v>
      </c>
      <c r="B535" s="173" t="s">
        <v>509</v>
      </c>
      <c r="C535" s="173" t="s">
        <v>464</v>
      </c>
      <c r="D535" s="172">
        <v>338422.15783606883</v>
      </c>
      <c r="E535" s="173" t="s">
        <v>429</v>
      </c>
      <c r="F535" s="173" t="s">
        <v>430</v>
      </c>
      <c r="G535" s="262" t="s">
        <v>928</v>
      </c>
      <c r="H535" s="173" t="s">
        <v>431</v>
      </c>
      <c r="I535" s="180" t="s">
        <v>283</v>
      </c>
      <c r="J535" s="173" t="s">
        <v>26</v>
      </c>
      <c r="K535" s="241">
        <v>40114</v>
      </c>
      <c r="L535" s="173"/>
      <c r="M535" s="262"/>
      <c r="N535" s="337">
        <f>600/15/2</f>
        <v>20</v>
      </c>
      <c r="O535" s="461">
        <f>CompletedProjects[[#This Row],[Power Plant Size (MW) or Share]]*0.593*9057*211.9*10^(-9)</f>
        <v>2.2761454637999997E-2</v>
      </c>
      <c r="P535" s="337">
        <f>CompletedProjects[[#This Row],[Annual Emissions (MMTCO2)]]*40</f>
        <v>0.91045818551999991</v>
      </c>
      <c r="Q535" s="176"/>
      <c r="R535" s="178" t="s">
        <v>467</v>
      </c>
      <c r="S535" s="167"/>
      <c r="T535" s="178"/>
      <c r="U535" s="83"/>
      <c r="V535" s="83"/>
      <c r="Y535" s="83"/>
    </row>
    <row r="536" spans="1:25" ht="28.7">
      <c r="A536" s="167" t="s">
        <v>65</v>
      </c>
      <c r="B536" s="171" t="s">
        <v>509</v>
      </c>
      <c r="C536" s="171" t="s">
        <v>464</v>
      </c>
      <c r="D536" s="172">
        <v>6838041.6958739217</v>
      </c>
      <c r="E536" s="173" t="s">
        <v>41</v>
      </c>
      <c r="F536" s="173" t="s">
        <v>468</v>
      </c>
      <c r="G536" s="262" t="s">
        <v>927</v>
      </c>
      <c r="H536" s="173" t="s">
        <v>25</v>
      </c>
      <c r="I536" s="180" t="s">
        <v>283</v>
      </c>
      <c r="J536" s="173" t="s">
        <v>26</v>
      </c>
      <c r="K536" s="241">
        <v>40142</v>
      </c>
      <c r="L536" s="173"/>
      <c r="M536" s="262"/>
      <c r="N536" s="337">
        <f>4800/15/2</f>
        <v>160</v>
      </c>
      <c r="O536" s="461">
        <f>CompletedProjects[[#This Row],[Power Plant Size (MW) or Share]]*0.593*9057*211.9*10^(-9)</f>
        <v>0.18209163710399998</v>
      </c>
      <c r="P536" s="337">
        <f>CompletedProjects[[#This Row],[Annual Emissions (MMTCO2)]]*40</f>
        <v>7.2836654841599993</v>
      </c>
      <c r="Q536" s="176"/>
      <c r="R536" s="178" t="s">
        <v>642</v>
      </c>
      <c r="S536" s="167"/>
      <c r="T536" s="178"/>
      <c r="U536" s="30"/>
    </row>
    <row r="537" spans="1:25" ht="43">
      <c r="A537" s="167" t="s">
        <v>65</v>
      </c>
      <c r="B537" s="171" t="s">
        <v>509</v>
      </c>
      <c r="C537" s="171" t="s">
        <v>464</v>
      </c>
      <c r="D537" s="172">
        <v>214310.29155188531</v>
      </c>
      <c r="E537" s="173" t="s">
        <v>469</v>
      </c>
      <c r="F537" s="173" t="s">
        <v>516</v>
      </c>
      <c r="G537" s="262" t="s">
        <v>929</v>
      </c>
      <c r="H537" s="173" t="s">
        <v>458</v>
      </c>
      <c r="I537" s="180" t="s">
        <v>283</v>
      </c>
      <c r="J537" s="173" t="s">
        <v>26</v>
      </c>
      <c r="K537" s="241">
        <v>40142</v>
      </c>
      <c r="L537" s="173"/>
      <c r="M537" s="262"/>
      <c r="N537" s="150">
        <f>125/15</f>
        <v>8.3333333333333339</v>
      </c>
      <c r="O537" s="461">
        <f>CompletedProjects[[#This Row],[Power Plant Size (MW) or Share]]*0.593*9057*211.9*10^(-9)</f>
        <v>9.4839394324999996E-3</v>
      </c>
      <c r="P537" s="337">
        <f>CompletedProjects[[#This Row],[Annual Emissions (MMTCO2)]]*40</f>
        <v>0.37935757729999997</v>
      </c>
      <c r="Q537" s="203"/>
      <c r="R537" s="167" t="s">
        <v>470</v>
      </c>
      <c r="S537" s="167"/>
      <c r="T537" s="167" t="s">
        <v>537</v>
      </c>
      <c r="U537" s="30"/>
    </row>
    <row r="538" spans="1:25" ht="57.35">
      <c r="A538" s="173" t="s">
        <v>65</v>
      </c>
      <c r="B538" s="173" t="s">
        <v>519</v>
      </c>
      <c r="C538" s="173" t="s">
        <v>464</v>
      </c>
      <c r="D538" s="172">
        <f>450000000*'Dev Bank Share by Country'!$K$77</f>
        <v>28521000.000000004</v>
      </c>
      <c r="E538" s="183" t="s">
        <v>1395</v>
      </c>
      <c r="F538" s="183" t="s">
        <v>1393</v>
      </c>
      <c r="G538" s="267" t="s">
        <v>1394</v>
      </c>
      <c r="H538" s="173" t="s">
        <v>65</v>
      </c>
      <c r="I538" s="180" t="s">
        <v>283</v>
      </c>
      <c r="J538" s="173" t="s">
        <v>26</v>
      </c>
      <c r="K538" s="241">
        <v>39563</v>
      </c>
      <c r="L538" s="173" t="s">
        <v>525</v>
      </c>
      <c r="M538" s="262" t="s">
        <v>821</v>
      </c>
      <c r="N538" s="338">
        <f>4000/3/13</f>
        <v>102.56410256410255</v>
      </c>
      <c r="O538" s="461">
        <f>CompletedProjects[[#This Row],[Power Plant Size (MW) or Share]]*0.593*9057*211.9*10^(-9)</f>
        <v>0.11672540839999998</v>
      </c>
      <c r="P538" s="337">
        <f>CompletedProjects[[#This Row],[Annual Emissions (MMTCO2)]]*40</f>
        <v>4.6690163359999994</v>
      </c>
      <c r="Q538" s="176"/>
      <c r="R538" s="183" t="s">
        <v>1428</v>
      </c>
      <c r="S538" s="167"/>
      <c r="T538" s="183"/>
      <c r="U538" s="30"/>
    </row>
    <row r="539" spans="1:25" ht="57.35">
      <c r="A539" s="167" t="s">
        <v>65</v>
      </c>
      <c r="B539" s="186" t="s">
        <v>519</v>
      </c>
      <c r="C539" s="167" t="s">
        <v>464</v>
      </c>
      <c r="D539" s="172"/>
      <c r="E539" s="173" t="s">
        <v>526</v>
      </c>
      <c r="F539" s="173" t="s">
        <v>527</v>
      </c>
      <c r="G539" s="174" t="s">
        <v>901</v>
      </c>
      <c r="H539" s="173" t="s">
        <v>95</v>
      </c>
      <c r="I539" s="180" t="s">
        <v>283</v>
      </c>
      <c r="J539" s="173" t="s">
        <v>277</v>
      </c>
      <c r="K539" s="241">
        <v>39601</v>
      </c>
      <c r="L539" s="172">
        <f>120000000*'Dev Bank Share by Country'!$K$77</f>
        <v>7605600.0000000009</v>
      </c>
      <c r="M539" s="450"/>
      <c r="N539" s="337"/>
      <c r="O539" s="461">
        <f>CompletedProjects[[#This Row],[Power Plant Size (MW) or Share]]*0.593*9057*211.9*10^(-9)</f>
        <v>0</v>
      </c>
      <c r="P539" s="337">
        <f>CompletedProjects[[#This Row],[Annual Emissions (MMTCO2)]]*40</f>
        <v>0</v>
      </c>
      <c r="Q539" s="176"/>
      <c r="R539" s="178" t="s">
        <v>1321</v>
      </c>
      <c r="S539" s="167" t="s">
        <v>1688</v>
      </c>
      <c r="T539" s="178"/>
      <c r="U539" s="30"/>
    </row>
    <row r="540" spans="1:25" ht="172">
      <c r="A540" s="167" t="s">
        <v>65</v>
      </c>
      <c r="B540" s="167" t="s">
        <v>401</v>
      </c>
      <c r="C540" s="171" t="s">
        <v>464</v>
      </c>
      <c r="D540" s="172">
        <f>11250000*'Dev Bank Share by Country'!$E$77</f>
        <v>333690.29515798448</v>
      </c>
      <c r="E540" s="173" t="s">
        <v>270</v>
      </c>
      <c r="F540" s="173" t="s">
        <v>433</v>
      </c>
      <c r="G540" s="262" t="s">
        <v>767</v>
      </c>
      <c r="H540" s="173" t="s">
        <v>201</v>
      </c>
      <c r="I540" s="173" t="s">
        <v>40</v>
      </c>
      <c r="J540" s="173" t="s">
        <v>417</v>
      </c>
      <c r="K540" s="241">
        <v>40673</v>
      </c>
      <c r="L540" s="173" t="s">
        <v>828</v>
      </c>
      <c r="M540" s="273" t="s">
        <v>827</v>
      </c>
      <c r="N540" s="256"/>
      <c r="O540" s="461">
        <f>CompletedProjects[[#This Row],[Power Plant Size (MW) or Share]]*0.593*9057*211.9*10^(-9)</f>
        <v>0</v>
      </c>
      <c r="P540" s="337">
        <f>CompletedProjects[[#This Row],[Annual Emissions (MMTCO2)]]*40</f>
        <v>0</v>
      </c>
      <c r="Q540" s="167"/>
      <c r="R540" s="167" t="s">
        <v>400</v>
      </c>
      <c r="S540" s="167" t="s">
        <v>465</v>
      </c>
      <c r="T540" s="167"/>
      <c r="U540" s="2"/>
      <c r="V540" s="2"/>
      <c r="Y540" s="2"/>
    </row>
    <row r="541" spans="1:25" ht="57.35">
      <c r="A541" s="224" t="s">
        <v>65</v>
      </c>
      <c r="B541" s="288" t="s">
        <v>1470</v>
      </c>
      <c r="C541" s="288" t="s">
        <v>336</v>
      </c>
      <c r="D541" s="172">
        <v>12500000</v>
      </c>
      <c r="E541" s="197" t="s">
        <v>1478</v>
      </c>
      <c r="F541" s="197" t="s">
        <v>1482</v>
      </c>
      <c r="G541" s="268" t="s">
        <v>1483</v>
      </c>
      <c r="H541" s="197" t="s">
        <v>11</v>
      </c>
      <c r="I541" s="173" t="s">
        <v>40</v>
      </c>
      <c r="J541" s="197" t="s">
        <v>1464</v>
      </c>
      <c r="K541" s="243">
        <v>40534</v>
      </c>
      <c r="L541" s="197" t="s">
        <v>1484</v>
      </c>
      <c r="M541" s="268"/>
      <c r="N541" s="339"/>
      <c r="O541" s="461">
        <f>CompletedProjects[[#This Row],[Power Plant Size (MW) or Share]]*0.593*9057*211.9*10^(-9)</f>
        <v>0</v>
      </c>
      <c r="P541" s="337">
        <f>CompletedProjects[[#This Row],[Annual Emissions (MMTCO2)]]*40</f>
        <v>0</v>
      </c>
      <c r="Q541" s="226"/>
      <c r="R541" s="227"/>
      <c r="S541" s="224"/>
      <c r="T541" s="227"/>
      <c r="U541" s="2"/>
      <c r="V541" s="2"/>
      <c r="Y541" s="2"/>
    </row>
    <row r="542" spans="1:25" ht="143.35">
      <c r="A542" s="219" t="s">
        <v>65</v>
      </c>
      <c r="B542" s="221" t="s">
        <v>445</v>
      </c>
      <c r="C542" s="221" t="s">
        <v>464</v>
      </c>
      <c r="D542" s="172">
        <f>450000000*'Dev Bank Share by Country'!$G$77</f>
        <v>18052480.853934214</v>
      </c>
      <c r="E542" s="173" t="s">
        <v>1395</v>
      </c>
      <c r="F542" s="173" t="s">
        <v>1393</v>
      </c>
      <c r="G542" s="262" t="s">
        <v>1394</v>
      </c>
      <c r="H542" s="173" t="s">
        <v>65</v>
      </c>
      <c r="I542" s="180" t="s">
        <v>283</v>
      </c>
      <c r="J542" s="173" t="s">
        <v>26</v>
      </c>
      <c r="K542" s="242">
        <v>39562</v>
      </c>
      <c r="L542" s="173" t="s">
        <v>919</v>
      </c>
      <c r="M542" s="262" t="s">
        <v>768</v>
      </c>
      <c r="N542" s="338">
        <f>4000/3/20</f>
        <v>66.666666666666657</v>
      </c>
      <c r="O542" s="461">
        <f>CompletedProjects[[#This Row],[Power Plant Size (MW) or Share]]*0.593*9057*211.9*10^(-9)</f>
        <v>7.5871515459999983E-2</v>
      </c>
      <c r="P542" s="337">
        <f>CompletedProjects[[#This Row],[Annual Emissions (MMTCO2)]]*40</f>
        <v>3.0348606183999993</v>
      </c>
      <c r="Q542" s="169"/>
      <c r="R542" s="183" t="s">
        <v>1396</v>
      </c>
      <c r="S542" s="181"/>
      <c r="T542" s="183"/>
      <c r="U542" s="2"/>
      <c r="V542" s="2"/>
      <c r="Y542" s="2"/>
    </row>
    <row r="543" spans="1:25" ht="86">
      <c r="A543" s="211" t="s">
        <v>65</v>
      </c>
      <c r="B543" s="326" t="s">
        <v>519</v>
      </c>
      <c r="C543" s="212" t="s">
        <v>464</v>
      </c>
      <c r="D543" s="172">
        <f>200000*'Dev Bank Share by Country'!$K$77</f>
        <v>12676.000000000002</v>
      </c>
      <c r="E543" s="213" t="s">
        <v>528</v>
      </c>
      <c r="F543" s="213" t="s">
        <v>529</v>
      </c>
      <c r="G543" s="272"/>
      <c r="H543" s="213" t="s">
        <v>239</v>
      </c>
      <c r="I543" s="180" t="s">
        <v>283</v>
      </c>
      <c r="J543" s="213" t="s">
        <v>26</v>
      </c>
      <c r="K543" s="241">
        <v>39729</v>
      </c>
      <c r="L543" s="183" t="s">
        <v>1709</v>
      </c>
      <c r="M543" s="262"/>
      <c r="N543" s="337"/>
      <c r="O543" s="461">
        <f>CompletedProjects[[#This Row],[Power Plant Size (MW) or Share]]*0.593*9057*211.9*10^(-9)</f>
        <v>0</v>
      </c>
      <c r="P543" s="337">
        <f>CompletedProjects[[#This Row],[Annual Emissions (MMTCO2)]]*40</f>
        <v>0</v>
      </c>
      <c r="Q543" s="176"/>
      <c r="R543" s="178" t="s">
        <v>530</v>
      </c>
      <c r="S543" s="167"/>
      <c r="T543" s="178"/>
      <c r="U543" s="2"/>
      <c r="V543" s="2"/>
      <c r="Y543" s="2"/>
    </row>
    <row r="544" spans="1:25" ht="43">
      <c r="A544" s="181" t="s">
        <v>65</v>
      </c>
      <c r="B544" s="214" t="s">
        <v>1487</v>
      </c>
      <c r="C544" s="214" t="s">
        <v>337</v>
      </c>
      <c r="D544" s="172">
        <v>30000000</v>
      </c>
      <c r="E544" s="183" t="s">
        <v>1488</v>
      </c>
      <c r="F544" s="183" t="s">
        <v>1485</v>
      </c>
      <c r="G544" s="262" t="s">
        <v>1489</v>
      </c>
      <c r="H544" s="183" t="s">
        <v>85</v>
      </c>
      <c r="I544" s="173" t="s">
        <v>40</v>
      </c>
      <c r="J544" s="183" t="s">
        <v>1457</v>
      </c>
      <c r="K544" s="242">
        <v>41082</v>
      </c>
      <c r="L544" s="183" t="s">
        <v>1486</v>
      </c>
      <c r="M544" s="262"/>
      <c r="N544" s="338"/>
      <c r="O544" s="461">
        <f>CompletedProjects[[#This Row],[Power Plant Size (MW) or Share]]*0.593*9057*211.9*10^(-9)</f>
        <v>0</v>
      </c>
      <c r="P544" s="337">
        <f>CompletedProjects[[#This Row],[Annual Emissions (MMTCO2)]]*40</f>
        <v>0</v>
      </c>
      <c r="Q544" s="176"/>
      <c r="R544" s="178"/>
      <c r="S544" s="167"/>
      <c r="T544" s="178"/>
      <c r="U544" s="2"/>
      <c r="V544" s="2"/>
      <c r="Y544" s="2"/>
    </row>
    <row r="545" spans="1:25" ht="28.7">
      <c r="A545" s="228" t="s">
        <v>65</v>
      </c>
      <c r="B545" s="225" t="s">
        <v>1470</v>
      </c>
      <c r="C545" s="225" t="s">
        <v>336</v>
      </c>
      <c r="D545" s="172">
        <v>17750000</v>
      </c>
      <c r="E545" s="197" t="s">
        <v>1478</v>
      </c>
      <c r="F545" s="197" t="s">
        <v>1479</v>
      </c>
      <c r="G545" s="277" t="s">
        <v>1480</v>
      </c>
      <c r="H545" s="197" t="s">
        <v>11</v>
      </c>
      <c r="I545" s="173" t="s">
        <v>40</v>
      </c>
      <c r="J545" s="197" t="s">
        <v>1464</v>
      </c>
      <c r="K545" s="243">
        <v>41547</v>
      </c>
      <c r="L545" s="197" t="s">
        <v>1481</v>
      </c>
      <c r="M545" s="268"/>
      <c r="N545" s="339"/>
      <c r="O545" s="461">
        <f>CompletedProjects[[#This Row],[Power Plant Size (MW) or Share]]*0.593*9057*211.9*10^(-9)</f>
        <v>0</v>
      </c>
      <c r="P545" s="337">
        <f>CompletedProjects[[#This Row],[Annual Emissions (MMTCO2)]]*40</f>
        <v>0</v>
      </c>
      <c r="Q545" s="226"/>
      <c r="R545" s="227"/>
      <c r="S545" s="224"/>
      <c r="T545" s="227"/>
      <c r="U545" s="2"/>
      <c r="V545" s="2"/>
      <c r="Y545" s="2"/>
    </row>
    <row r="546" spans="1:25" ht="57.35">
      <c r="A546" s="167" t="s">
        <v>65</v>
      </c>
      <c r="B546" s="171" t="s">
        <v>511</v>
      </c>
      <c r="C546" s="171" t="s">
        <v>464</v>
      </c>
      <c r="D546" s="172">
        <f>18000000*'Dev Bank Share by Country'!$G$77</f>
        <v>722099.23415736842</v>
      </c>
      <c r="E546" s="173" t="s">
        <v>407</v>
      </c>
      <c r="F546" s="173" t="s">
        <v>407</v>
      </c>
      <c r="G546" s="262" t="s">
        <v>776</v>
      </c>
      <c r="H546" s="173" t="s">
        <v>408</v>
      </c>
      <c r="I546" s="180" t="s">
        <v>283</v>
      </c>
      <c r="J546" s="173" t="s">
        <v>409</v>
      </c>
      <c r="K546" s="241">
        <v>39254</v>
      </c>
      <c r="L546" s="173" t="s">
        <v>816</v>
      </c>
      <c r="M546" s="262"/>
      <c r="N546" s="256">
        <f>60/19</f>
        <v>3.1578947368421053</v>
      </c>
      <c r="O546" s="461">
        <f>CompletedProjects[[#This Row],[Power Plant Size (MW) or Share]]*0.593*9057*211.9*10^(-9)</f>
        <v>3.5939138902105262E-3</v>
      </c>
      <c r="P546" s="337">
        <f>CompletedProjects[[#This Row],[Annual Emissions (MMTCO2)]]*40</f>
        <v>0.14375655560842104</v>
      </c>
      <c r="Q546" s="167"/>
      <c r="R546" s="167" t="s">
        <v>636</v>
      </c>
      <c r="S546" s="167" t="s">
        <v>633</v>
      </c>
      <c r="T546" s="167"/>
      <c r="U546" s="2"/>
      <c r="V546" s="2"/>
      <c r="Y546" s="2"/>
    </row>
    <row r="547" spans="1:25" ht="86">
      <c r="A547" s="167" t="s">
        <v>65</v>
      </c>
      <c r="B547" s="167" t="s">
        <v>401</v>
      </c>
      <c r="C547" s="182" t="s">
        <v>464</v>
      </c>
      <c r="D547" s="172">
        <f>7500000*'Dev Bank Share by Country'!$E$77</f>
        <v>222460.19677198966</v>
      </c>
      <c r="E547" s="173" t="s">
        <v>456</v>
      </c>
      <c r="F547" s="173" t="s">
        <v>457</v>
      </c>
      <c r="G547" s="262" t="s">
        <v>794</v>
      </c>
      <c r="H547" s="173" t="s">
        <v>458</v>
      </c>
      <c r="I547" s="180" t="s">
        <v>283</v>
      </c>
      <c r="J547" s="173" t="s">
        <v>26</v>
      </c>
      <c r="K547" s="241">
        <v>41627</v>
      </c>
      <c r="L547" s="173" t="s">
        <v>899</v>
      </c>
      <c r="M547" s="262"/>
      <c r="N547" s="256">
        <f>125/19</f>
        <v>6.5789473684210522</v>
      </c>
      <c r="O547" s="461">
        <f>CompletedProjects[[#This Row],[Power Plant Size (MW) or Share]]*0.593*9057*211.9*10^(-9)</f>
        <v>7.487320604605263E-3</v>
      </c>
      <c r="P547" s="337">
        <f>CompletedProjects[[#This Row],[Annual Emissions (MMTCO2)]]*40</f>
        <v>0.29949282418421053</v>
      </c>
      <c r="Q547" s="167"/>
      <c r="R547" s="167" t="s">
        <v>637</v>
      </c>
      <c r="S547" s="167" t="s">
        <v>633</v>
      </c>
      <c r="T547" s="167" t="s">
        <v>537</v>
      </c>
      <c r="U547" s="2"/>
      <c r="V547" s="2"/>
      <c r="Y547" s="2"/>
    </row>
    <row r="548" spans="1:25" ht="100.35">
      <c r="A548" s="167" t="s">
        <v>65</v>
      </c>
      <c r="B548" s="182" t="s">
        <v>511</v>
      </c>
      <c r="C548" s="182" t="s">
        <v>464</v>
      </c>
      <c r="D548" s="172">
        <f>146970000*'Dev Bank Share by Country'!$G$77</f>
        <v>5895940.2468949137</v>
      </c>
      <c r="E548" s="173" t="s">
        <v>459</v>
      </c>
      <c r="F548" s="173" t="s">
        <v>460</v>
      </c>
      <c r="G548" s="262" t="s">
        <v>784</v>
      </c>
      <c r="H548" s="173" t="s">
        <v>239</v>
      </c>
      <c r="I548" s="180" t="s">
        <v>283</v>
      </c>
      <c r="J548" s="173" t="s">
        <v>26</v>
      </c>
      <c r="K548" s="241">
        <v>41701</v>
      </c>
      <c r="L548" s="173" t="s">
        <v>900</v>
      </c>
      <c r="M548" s="262"/>
      <c r="N548" s="256"/>
      <c r="O548" s="461">
        <f>CompletedProjects[[#This Row],[Power Plant Size (MW) or Share]]*0.593*9057*211.9*10^(-9)</f>
        <v>0</v>
      </c>
      <c r="P548" s="337">
        <f>CompletedProjects[[#This Row],[Annual Emissions (MMTCO2)]]*40</f>
        <v>0</v>
      </c>
      <c r="Q548" s="167"/>
      <c r="R548" s="167" t="s">
        <v>400</v>
      </c>
      <c r="S548" s="167" t="s">
        <v>465</v>
      </c>
      <c r="T548" s="167"/>
      <c r="U548" s="2"/>
      <c r="V548" s="2"/>
      <c r="Y548" s="2"/>
    </row>
    <row r="549" spans="1:25" ht="28.7">
      <c r="A549" s="183" t="s">
        <v>65</v>
      </c>
      <c r="B549" s="183" t="s">
        <v>519</v>
      </c>
      <c r="C549" s="183" t="s">
        <v>464</v>
      </c>
      <c r="D549" s="172">
        <f>120000000*'Dev Bank Share by Country'!$K$77</f>
        <v>7605600.0000000009</v>
      </c>
      <c r="E549" s="173" t="s">
        <v>533</v>
      </c>
      <c r="F549" s="173" t="s">
        <v>534</v>
      </c>
      <c r="G549" s="262"/>
      <c r="H549" s="173" t="s">
        <v>95</v>
      </c>
      <c r="I549" s="180" t="s">
        <v>283</v>
      </c>
      <c r="J549" s="173" t="s">
        <v>277</v>
      </c>
      <c r="K549" s="241">
        <v>40158</v>
      </c>
      <c r="L549" s="173" t="s">
        <v>535</v>
      </c>
      <c r="M549" s="262"/>
      <c r="N549" s="337">
        <f>200/13</f>
        <v>15.384615384615385</v>
      </c>
      <c r="O549" s="461">
        <f>CompletedProjects[[#This Row],[Power Plant Size (MW) or Share]]*0.593*9057*211.9*10^(-9)</f>
        <v>1.750881126E-2</v>
      </c>
      <c r="P549" s="337">
        <f>CompletedProjects[[#This Row],[Annual Emissions (MMTCO2)]]*40</f>
        <v>0.70035245040000005</v>
      </c>
      <c r="Q549" s="176"/>
      <c r="R549" s="178"/>
      <c r="S549" s="167"/>
      <c r="T549" s="178"/>
      <c r="U549" s="2"/>
      <c r="V549" s="2"/>
      <c r="Y549" s="2"/>
    </row>
    <row r="550" spans="1:25" ht="129">
      <c r="A550" s="181" t="s">
        <v>65</v>
      </c>
      <c r="B550" s="182" t="s">
        <v>509</v>
      </c>
      <c r="C550" s="182" t="s">
        <v>464</v>
      </c>
      <c r="D550" s="172">
        <v>516099.43781308923</v>
      </c>
      <c r="E550" s="173" t="s">
        <v>556</v>
      </c>
      <c r="F550" s="173" t="s">
        <v>555</v>
      </c>
      <c r="G550" s="272"/>
      <c r="H550" s="173" t="s">
        <v>554</v>
      </c>
      <c r="I550" s="180" t="s">
        <v>283</v>
      </c>
      <c r="J550" s="173" t="s">
        <v>26</v>
      </c>
      <c r="K550" s="240">
        <v>42064</v>
      </c>
      <c r="L550" s="173" t="s">
        <v>857</v>
      </c>
      <c r="M550" s="272" t="s">
        <v>858</v>
      </c>
      <c r="N550" s="337"/>
      <c r="O550" s="461">
        <f>CompletedProjects[[#This Row],[Power Plant Size (MW) or Share]]*0.593*9057*211.9*10^(-9)</f>
        <v>0</v>
      </c>
      <c r="P550" s="337">
        <f>CompletedProjects[[#This Row],[Annual Emissions (MMTCO2)]]*40</f>
        <v>0</v>
      </c>
      <c r="Q550" s="215"/>
      <c r="R550" s="216" t="s">
        <v>537</v>
      </c>
      <c r="S550" s="217"/>
      <c r="T550" s="306"/>
      <c r="U550" s="2"/>
      <c r="V550" s="2"/>
      <c r="Y550" s="2"/>
    </row>
    <row r="551" spans="1:25" ht="215">
      <c r="A551" s="181" t="s">
        <v>65</v>
      </c>
      <c r="B551" s="182" t="s">
        <v>509</v>
      </c>
      <c r="C551" s="182" t="s">
        <v>464</v>
      </c>
      <c r="D551" s="172">
        <v>2903059.3376986268</v>
      </c>
      <c r="E551" s="173" t="s">
        <v>41</v>
      </c>
      <c r="F551" s="173" t="s">
        <v>553</v>
      </c>
      <c r="G551" s="272" t="s">
        <v>788</v>
      </c>
      <c r="H551" s="173" t="s">
        <v>25</v>
      </c>
      <c r="I551" s="173" t="s">
        <v>284</v>
      </c>
      <c r="J551" s="173" t="s">
        <v>79</v>
      </c>
      <c r="K551" s="240">
        <v>42359</v>
      </c>
      <c r="L551" s="173" t="s">
        <v>1326</v>
      </c>
      <c r="M551" s="272" t="s">
        <v>861</v>
      </c>
      <c r="N551" s="337"/>
      <c r="O551" s="461">
        <f>CompletedProjects[[#This Row],[Power Plant Size (MW) or Share]]*0.593*9057*211.9*10^(-9)</f>
        <v>0</v>
      </c>
      <c r="P551" s="337">
        <f>CompletedProjects[[#This Row],[Annual Emissions (MMTCO2)]]*40</f>
        <v>0</v>
      </c>
      <c r="Q551" s="215"/>
      <c r="R551" s="216"/>
      <c r="S551" s="217"/>
      <c r="T551" s="306"/>
      <c r="U551" s="2"/>
      <c r="V551" s="2"/>
      <c r="Y551" s="2"/>
    </row>
    <row r="552" spans="1:25" ht="157.69999999999999">
      <c r="A552" s="167" t="s">
        <v>65</v>
      </c>
      <c r="B552" s="167" t="s">
        <v>401</v>
      </c>
      <c r="C552" s="182" t="s">
        <v>464</v>
      </c>
      <c r="D552" s="172">
        <f>2000000*'Dev Bank Share by Country'!$E$77</f>
        <v>59322.719139197237</v>
      </c>
      <c r="E552" s="173" t="s">
        <v>410</v>
      </c>
      <c r="F552" s="173" t="s">
        <v>411</v>
      </c>
      <c r="G552" s="262" t="s">
        <v>777</v>
      </c>
      <c r="H552" s="173" t="s">
        <v>412</v>
      </c>
      <c r="I552" s="173" t="s">
        <v>284</v>
      </c>
      <c r="J552" s="173" t="s">
        <v>1498</v>
      </c>
      <c r="K552" s="241">
        <v>39261</v>
      </c>
      <c r="L552" s="173" t="s">
        <v>916</v>
      </c>
      <c r="M552" s="262"/>
      <c r="N552" s="256"/>
      <c r="O552" s="461">
        <f>CompletedProjects[[#This Row],[Power Plant Size (MW) or Share]]*0.593*9057*211.9*10^(-9)</f>
        <v>0</v>
      </c>
      <c r="P552" s="337">
        <f>CompletedProjects[[#This Row],[Annual Emissions (MMTCO2)]]*40</f>
        <v>0</v>
      </c>
      <c r="Q552" s="167"/>
      <c r="R552" s="167" t="s">
        <v>400</v>
      </c>
      <c r="S552" s="167" t="s">
        <v>633</v>
      </c>
      <c r="T552" s="167"/>
      <c r="U552" s="2"/>
      <c r="V552" s="2"/>
      <c r="Y552" s="2"/>
    </row>
    <row r="553" spans="1:25" ht="114.7">
      <c r="A553" s="167" t="s">
        <v>65</v>
      </c>
      <c r="B553" s="167" t="s">
        <v>513</v>
      </c>
      <c r="C553" s="182" t="s">
        <v>464</v>
      </c>
      <c r="D553" s="172">
        <f>3040000000*'Dev Bank Share by Country'!$C$77</f>
        <v>97583999.999999985</v>
      </c>
      <c r="E553" s="173" t="s">
        <v>41</v>
      </c>
      <c r="F553" s="173" t="s">
        <v>432</v>
      </c>
      <c r="G553" s="272" t="s">
        <v>773</v>
      </c>
      <c r="H553" s="173" t="s">
        <v>25</v>
      </c>
      <c r="I553" s="180" t="s">
        <v>283</v>
      </c>
      <c r="J553" s="173" t="s">
        <v>26</v>
      </c>
      <c r="K553" s="241">
        <v>40276</v>
      </c>
      <c r="L553" s="173" t="s">
        <v>923</v>
      </c>
      <c r="M553" s="454"/>
      <c r="N553" s="466">
        <f>4800/19/2</f>
        <v>126.31578947368421</v>
      </c>
      <c r="O553" s="461">
        <f>CompletedProjects[[#This Row],[Power Plant Size (MW) or Share]]*0.593*9057*211.9*10^(-9)</f>
        <v>0.14375655560842107</v>
      </c>
      <c r="P553" s="337">
        <f>CompletedProjects[[#This Row],[Annual Emissions (MMTCO2)]]*40</f>
        <v>5.7502622243368426</v>
      </c>
      <c r="Q553" s="212"/>
      <c r="R553" s="216" t="s">
        <v>643</v>
      </c>
      <c r="S553" s="217" t="s">
        <v>465</v>
      </c>
      <c r="T553" s="306"/>
      <c r="U553" s="2"/>
      <c r="V553" s="2"/>
      <c r="Y553" s="2"/>
    </row>
    <row r="554" spans="1:25" ht="100.35">
      <c r="A554" s="167" t="s">
        <v>65</v>
      </c>
      <c r="B554" s="167" t="s">
        <v>513</v>
      </c>
      <c r="C554" s="167" t="s">
        <v>464</v>
      </c>
      <c r="D554" s="172">
        <f>379060000*'Dev Bank Share by Country'!$C$77</f>
        <v>12167825.999999998</v>
      </c>
      <c r="E554" s="173" t="s">
        <v>429</v>
      </c>
      <c r="F554" s="173" t="s">
        <v>430</v>
      </c>
      <c r="G554" s="272" t="s">
        <v>779</v>
      </c>
      <c r="H554" s="173" t="s">
        <v>431</v>
      </c>
      <c r="I554" s="180" t="s">
        <v>283</v>
      </c>
      <c r="J554" s="173" t="s">
        <v>26</v>
      </c>
      <c r="K554" s="241">
        <v>40115</v>
      </c>
      <c r="L554" s="173" t="s">
        <v>922</v>
      </c>
      <c r="M554" s="272"/>
      <c r="N554" s="466">
        <f>600/19/2</f>
        <v>15.789473684210526</v>
      </c>
      <c r="O554" s="461">
        <f>CompletedProjects[[#This Row],[Power Plant Size (MW) or Share]]*0.593*9057*211.9*10^(-9)</f>
        <v>1.7969569451052634E-2</v>
      </c>
      <c r="P554" s="337">
        <f>CompletedProjects[[#This Row],[Annual Emissions (MMTCO2)]]*40</f>
        <v>0.71878277804210533</v>
      </c>
      <c r="Q554" s="212"/>
      <c r="R554" s="216" t="s">
        <v>640</v>
      </c>
      <c r="S554" s="217" t="s">
        <v>633</v>
      </c>
      <c r="T554" s="306"/>
      <c r="U554" s="2"/>
      <c r="V554" s="2"/>
      <c r="Y554" s="2"/>
    </row>
    <row r="555" spans="1:25" ht="172">
      <c r="A555" s="167" t="s">
        <v>65</v>
      </c>
      <c r="B555" s="167" t="s">
        <v>401</v>
      </c>
      <c r="C555" s="171" t="s">
        <v>464</v>
      </c>
      <c r="D555" s="172">
        <f>21000000*'Dev Bank Share by Country'!$E$77</f>
        <v>622888.55096157105</v>
      </c>
      <c r="E555" s="173" t="s">
        <v>451</v>
      </c>
      <c r="F555" s="173" t="s">
        <v>452</v>
      </c>
      <c r="G555" s="272" t="s">
        <v>793</v>
      </c>
      <c r="H555" s="173" t="s">
        <v>453</v>
      </c>
      <c r="I555" s="173" t="s">
        <v>284</v>
      </c>
      <c r="J555" s="173" t="s">
        <v>1498</v>
      </c>
      <c r="K555" s="241">
        <v>41471</v>
      </c>
      <c r="L555" s="173" t="s">
        <v>926</v>
      </c>
      <c r="M555" s="262" t="s">
        <v>898</v>
      </c>
      <c r="N555" s="256"/>
      <c r="O555" s="461">
        <f>CompletedProjects[[#This Row],[Power Plant Size (MW) or Share]]*0.593*9057*211.9*10^(-9)</f>
        <v>0</v>
      </c>
      <c r="P555" s="337">
        <f>CompletedProjects[[#This Row],[Annual Emissions (MMTCO2)]]*40</f>
        <v>0</v>
      </c>
      <c r="Q555" s="167"/>
      <c r="R555" s="167" t="s">
        <v>400</v>
      </c>
      <c r="S555" s="167" t="s">
        <v>633</v>
      </c>
      <c r="T555" s="167" t="s">
        <v>537</v>
      </c>
      <c r="U555" s="2"/>
      <c r="V555" s="2"/>
      <c r="Y555" s="2"/>
    </row>
    <row r="556" spans="1:25" ht="172">
      <c r="A556" s="167" t="s">
        <v>65</v>
      </c>
      <c r="B556" s="167" t="s">
        <v>401</v>
      </c>
      <c r="C556" s="171" t="s">
        <v>464</v>
      </c>
      <c r="D556" s="172">
        <f>12100000*'Dev Bank Share by Country'!$E$77</f>
        <v>358902.4507921433</v>
      </c>
      <c r="E556" s="173" t="s">
        <v>451</v>
      </c>
      <c r="F556" s="173" t="s">
        <v>452</v>
      </c>
      <c r="G556" s="272" t="s">
        <v>793</v>
      </c>
      <c r="H556" s="173" t="s">
        <v>453</v>
      </c>
      <c r="I556" s="173" t="s">
        <v>284</v>
      </c>
      <c r="J556" s="173" t="s">
        <v>1498</v>
      </c>
      <c r="K556" s="241">
        <v>41471</v>
      </c>
      <c r="L556" s="173" t="s">
        <v>926</v>
      </c>
      <c r="M556" s="272" t="s">
        <v>898</v>
      </c>
      <c r="N556" s="467"/>
      <c r="O556" s="461">
        <f>CompletedProjects[[#This Row],[Power Plant Size (MW) or Share]]*0.593*9057*211.9*10^(-9)</f>
        <v>0</v>
      </c>
      <c r="P556" s="337">
        <f>CompletedProjects[[#This Row],[Annual Emissions (MMTCO2)]]*40</f>
        <v>0</v>
      </c>
      <c r="Q556" s="212"/>
      <c r="R556" s="220" t="s">
        <v>400</v>
      </c>
      <c r="S556" s="217" t="s">
        <v>633</v>
      </c>
      <c r="T556" s="217" t="s">
        <v>537</v>
      </c>
      <c r="U556" s="2"/>
      <c r="V556" s="2"/>
      <c r="Y556" s="2"/>
    </row>
    <row r="557" spans="1:25" ht="215">
      <c r="A557" s="167" t="s">
        <v>65</v>
      </c>
      <c r="B557" s="182" t="s">
        <v>511</v>
      </c>
      <c r="C557" s="182" t="s">
        <v>464</v>
      </c>
      <c r="D557" s="172">
        <f>28000000*'Dev Bank Share by Country'!$G$77</f>
        <v>1123265.4753559064</v>
      </c>
      <c r="E557" s="173" t="s">
        <v>446</v>
      </c>
      <c r="F557" s="173" t="s">
        <v>447</v>
      </c>
      <c r="G557" s="272" t="s">
        <v>782</v>
      </c>
      <c r="H557" s="173" t="s">
        <v>201</v>
      </c>
      <c r="I557" s="173" t="s">
        <v>284</v>
      </c>
      <c r="J557" s="173" t="s">
        <v>1498</v>
      </c>
      <c r="K557" s="241">
        <v>41333</v>
      </c>
      <c r="L557" s="173" t="s">
        <v>832</v>
      </c>
      <c r="M557" s="272"/>
      <c r="N557" s="256">
        <f>750/19</f>
        <v>39.473684210526315</v>
      </c>
      <c r="O557" s="461">
        <f>CompletedProjects[[#This Row],[Power Plant Size (MW) or Share]]*0.593*9057*211.9*10^(-9)</f>
        <v>4.4923923627631576E-2</v>
      </c>
      <c r="P557" s="337">
        <f>CompletedProjects[[#This Row],[Annual Emissions (MMTCO2)]]*40</f>
        <v>1.7969569451052632</v>
      </c>
      <c r="Q557" s="212"/>
      <c r="R557" s="220" t="s">
        <v>639</v>
      </c>
      <c r="S557" s="217"/>
      <c r="T557" s="217"/>
      <c r="U557" s="2"/>
      <c r="V557" s="2"/>
      <c r="Y557" s="2"/>
    </row>
    <row r="558" spans="1:25" ht="86">
      <c r="A558" s="167" t="s">
        <v>65</v>
      </c>
      <c r="B558" s="171" t="s">
        <v>511</v>
      </c>
      <c r="C558" s="171" t="s">
        <v>464</v>
      </c>
      <c r="D558" s="172">
        <f>45500000*'Dev Bank Share by Country'!$G$77</f>
        <v>1825306.3974533482</v>
      </c>
      <c r="E558" s="173" t="s">
        <v>440</v>
      </c>
      <c r="F558" s="173" t="s">
        <v>441</v>
      </c>
      <c r="G558" s="272" t="s">
        <v>771</v>
      </c>
      <c r="H558" s="173" t="s">
        <v>442</v>
      </c>
      <c r="I558" s="173" t="s">
        <v>40</v>
      </c>
      <c r="J558" s="173" t="s">
        <v>443</v>
      </c>
      <c r="K558" s="241">
        <v>41060</v>
      </c>
      <c r="L558" s="173" t="s">
        <v>924</v>
      </c>
      <c r="M558" s="273"/>
      <c r="N558" s="467"/>
      <c r="O558" s="461">
        <f>CompletedProjects[[#This Row],[Power Plant Size (MW) or Share]]*0.593*9057*211.9*10^(-9)</f>
        <v>0</v>
      </c>
      <c r="P558" s="337">
        <f>CompletedProjects[[#This Row],[Annual Emissions (MMTCO2)]]*40</f>
        <v>0</v>
      </c>
      <c r="Q558" s="167"/>
      <c r="R558" s="167" t="s">
        <v>400</v>
      </c>
      <c r="S558" s="167" t="s">
        <v>465</v>
      </c>
      <c r="T558" s="167"/>
      <c r="U558" s="2"/>
      <c r="V558" s="2"/>
      <c r="Y558" s="2"/>
    </row>
    <row r="559" spans="1:25" ht="71.7">
      <c r="A559" s="173" t="s">
        <v>65</v>
      </c>
      <c r="B559" s="173" t="s">
        <v>519</v>
      </c>
      <c r="C559" s="173" t="s">
        <v>464</v>
      </c>
      <c r="D559" s="172">
        <f>135000000*'Dev Bank Share by Country'!$K$77</f>
        <v>8556300</v>
      </c>
      <c r="E559" s="173" t="s">
        <v>531</v>
      </c>
      <c r="F559" s="173" t="s">
        <v>538</v>
      </c>
      <c r="G559" s="272"/>
      <c r="H559" s="173" t="s">
        <v>239</v>
      </c>
      <c r="I559" s="180" t="s">
        <v>283</v>
      </c>
      <c r="J559" s="173" t="s">
        <v>26</v>
      </c>
      <c r="K559" s="241">
        <v>40217</v>
      </c>
      <c r="L559" s="173" t="s">
        <v>1710</v>
      </c>
      <c r="M559" s="272"/>
      <c r="N559" s="337">
        <f>250/13</f>
        <v>19.23076923076923</v>
      </c>
      <c r="O559" s="461">
        <f>CompletedProjects[[#This Row],[Power Plant Size (MW) or Share]]*0.593*9057*211.9*10^(-9)</f>
        <v>2.1886014075000002E-2</v>
      </c>
      <c r="P559" s="337">
        <f>CompletedProjects[[#This Row],[Annual Emissions (MMTCO2)]]*40</f>
        <v>0.87544056300000006</v>
      </c>
      <c r="Q559" s="215"/>
      <c r="R559" s="178" t="s">
        <v>540</v>
      </c>
      <c r="S559" s="217"/>
      <c r="T559" s="178"/>
      <c r="U559" s="2"/>
      <c r="V559" s="2"/>
      <c r="Y559" s="2"/>
    </row>
    <row r="560" spans="1:25" ht="215">
      <c r="A560" s="167" t="s">
        <v>65</v>
      </c>
      <c r="B560" s="167" t="s">
        <v>401</v>
      </c>
      <c r="C560" s="182" t="s">
        <v>464</v>
      </c>
      <c r="D560" s="172">
        <f>200000000*'Dev Bank Share by Country'!$E$77</f>
        <v>5932271.9139197236</v>
      </c>
      <c r="E560" s="173" t="s">
        <v>461</v>
      </c>
      <c r="F560" s="173" t="s">
        <v>462</v>
      </c>
      <c r="G560" s="272" t="s">
        <v>795</v>
      </c>
      <c r="H560" s="173" t="s">
        <v>442</v>
      </c>
      <c r="I560" s="173" t="s">
        <v>284</v>
      </c>
      <c r="J560" s="173" t="s">
        <v>1498</v>
      </c>
      <c r="K560" s="241">
        <v>41760</v>
      </c>
      <c r="L560" s="173" t="s">
        <v>831</v>
      </c>
      <c r="M560" s="272" t="s">
        <v>830</v>
      </c>
      <c r="N560" s="256"/>
      <c r="O560" s="461">
        <f>CompletedProjects[[#This Row],[Power Plant Size (MW) or Share]]*0.593*9057*211.9*10^(-9)</f>
        <v>0</v>
      </c>
      <c r="P560" s="337">
        <f>CompletedProjects[[#This Row],[Annual Emissions (MMTCO2)]]*40</f>
        <v>0</v>
      </c>
      <c r="Q560" s="212"/>
      <c r="R560" s="220" t="s">
        <v>400</v>
      </c>
      <c r="S560" s="217" t="s">
        <v>465</v>
      </c>
      <c r="T560" s="217"/>
      <c r="U560" s="2"/>
      <c r="V560" s="2"/>
      <c r="Y560" s="2"/>
    </row>
    <row r="561" spans="1:25" ht="114.7">
      <c r="A561" s="167" t="s">
        <v>65</v>
      </c>
      <c r="B561" s="167" t="s">
        <v>401</v>
      </c>
      <c r="C561" s="171" t="s">
        <v>464</v>
      </c>
      <c r="D561" s="172">
        <f>280000*'Dev Bank Share by Country'!$E$77</f>
        <v>8305.1806794876138</v>
      </c>
      <c r="E561" s="173" t="s">
        <v>437</v>
      </c>
      <c r="F561" s="173" t="s">
        <v>438</v>
      </c>
      <c r="G561" s="272" t="s">
        <v>790</v>
      </c>
      <c r="H561" s="173" t="s">
        <v>439</v>
      </c>
      <c r="I561" s="173" t="s">
        <v>284</v>
      </c>
      <c r="J561" s="173" t="s">
        <v>1498</v>
      </c>
      <c r="K561" s="241">
        <v>41039</v>
      </c>
      <c r="L561" s="173" t="s">
        <v>897</v>
      </c>
      <c r="M561" s="273" t="s">
        <v>780</v>
      </c>
      <c r="N561" s="256"/>
      <c r="O561" s="461">
        <f>CompletedProjects[[#This Row],[Power Plant Size (MW) or Share]]*0.593*9057*211.9*10^(-9)</f>
        <v>0</v>
      </c>
      <c r="P561" s="337">
        <f>CompletedProjects[[#This Row],[Annual Emissions (MMTCO2)]]*40</f>
        <v>0</v>
      </c>
      <c r="Q561" s="167"/>
      <c r="R561" s="220" t="s">
        <v>400</v>
      </c>
      <c r="S561" s="167" t="s">
        <v>465</v>
      </c>
      <c r="T561" s="167"/>
      <c r="U561" s="2"/>
      <c r="V561" s="2"/>
      <c r="Y561" s="2"/>
    </row>
    <row r="562" spans="1:25" ht="172">
      <c r="A562" s="167" t="s">
        <v>65</v>
      </c>
      <c r="B562" s="167" t="s">
        <v>513</v>
      </c>
      <c r="C562" s="167" t="s">
        <v>464</v>
      </c>
      <c r="D562" s="172">
        <f>57000000*'Dev Bank Share by Country'!$C$77</f>
        <v>1829699.9999999998</v>
      </c>
      <c r="E562" s="173" t="s">
        <v>415</v>
      </c>
      <c r="F562" s="173" t="s">
        <v>416</v>
      </c>
      <c r="G562" s="262" t="s">
        <v>772</v>
      </c>
      <c r="H562" s="173" t="s">
        <v>368</v>
      </c>
      <c r="I562" s="173" t="s">
        <v>40</v>
      </c>
      <c r="J562" s="173" t="s">
        <v>417</v>
      </c>
      <c r="K562" s="241">
        <v>39436</v>
      </c>
      <c r="L562" s="173" t="s">
        <v>918</v>
      </c>
      <c r="M562" s="273" t="s">
        <v>895</v>
      </c>
      <c r="N562" s="256"/>
      <c r="O562" s="461">
        <f>CompletedProjects[[#This Row],[Power Plant Size (MW) or Share]]*0.593*9057*211.9*10^(-9)</f>
        <v>0</v>
      </c>
      <c r="P562" s="337">
        <f>CompletedProjects[[#This Row],[Annual Emissions (MMTCO2)]]*40</f>
        <v>0</v>
      </c>
      <c r="Q562" s="167"/>
      <c r="R562" s="167" t="s">
        <v>400</v>
      </c>
      <c r="S562" s="167" t="s">
        <v>633</v>
      </c>
      <c r="T562" s="167"/>
      <c r="U562" s="2"/>
      <c r="V562" s="2"/>
      <c r="Y562" s="2"/>
    </row>
    <row r="563" spans="1:25" ht="172">
      <c r="A563" s="167" t="s">
        <v>85</v>
      </c>
      <c r="B563" s="182" t="s">
        <v>511</v>
      </c>
      <c r="C563" s="182" t="s">
        <v>464</v>
      </c>
      <c r="D563" s="172">
        <f>500000000*'Dev Bank Share by Country'!$G$78</f>
        <v>6157370.0808941498</v>
      </c>
      <c r="E563" s="183" t="s">
        <v>454</v>
      </c>
      <c r="F563" s="183" t="s">
        <v>454</v>
      </c>
      <c r="G563" s="262" t="s">
        <v>783</v>
      </c>
      <c r="H563" s="183" t="s">
        <v>515</v>
      </c>
      <c r="I563" s="180" t="s">
        <v>283</v>
      </c>
      <c r="J563" s="183" t="s">
        <v>26</v>
      </c>
      <c r="K563" s="242">
        <v>41760</v>
      </c>
      <c r="L563" s="183" t="s">
        <v>833</v>
      </c>
      <c r="M563" s="262"/>
      <c r="N563" s="337">
        <f>(270+450)/19</f>
        <v>37.89473684210526</v>
      </c>
      <c r="O563" s="461">
        <f>CompletedProjects[[#This Row],[Power Plant Size (MW) or Share]]*0.593*9057*211.9*10^(-9)</f>
        <v>4.3126966682526316E-2</v>
      </c>
      <c r="P563" s="337">
        <f>CompletedProjects[[#This Row],[Annual Emissions (MMTCO2)]]*40</f>
        <v>1.7250786673010525</v>
      </c>
      <c r="Q563" s="176"/>
      <c r="R563" s="178" t="s">
        <v>639</v>
      </c>
      <c r="S563" s="167" t="s">
        <v>465</v>
      </c>
      <c r="T563" s="178"/>
      <c r="U563" s="2"/>
      <c r="V563" s="2"/>
      <c r="Y563" s="2"/>
    </row>
    <row r="564" spans="1:25" ht="172">
      <c r="A564" s="167" t="s">
        <v>85</v>
      </c>
      <c r="B564" s="167" t="s">
        <v>401</v>
      </c>
      <c r="C564" s="182" t="s">
        <v>464</v>
      </c>
      <c r="D564" s="172">
        <f>1120000*'Dev Bank Share by Country'!$E$78</f>
        <v>9096.6215100085537</v>
      </c>
      <c r="E564" s="173" t="s">
        <v>402</v>
      </c>
      <c r="F564" s="173" t="s">
        <v>403</v>
      </c>
      <c r="G564" s="262" t="s">
        <v>785</v>
      </c>
      <c r="H564" s="173" t="s">
        <v>404</v>
      </c>
      <c r="I564" s="173" t="s">
        <v>284</v>
      </c>
      <c r="J564" s="173" t="s">
        <v>1498</v>
      </c>
      <c r="K564" s="241">
        <v>39224</v>
      </c>
      <c r="L564" s="173" t="s">
        <v>826</v>
      </c>
      <c r="M564" s="262" t="s">
        <v>785</v>
      </c>
      <c r="N564" s="256"/>
      <c r="O564" s="461">
        <f>CompletedProjects[[#This Row],[Power Plant Size (MW) or Share]]*0.593*9057*211.9*10^(-9)</f>
        <v>0</v>
      </c>
      <c r="P564" s="337">
        <f>CompletedProjects[[#This Row],[Annual Emissions (MMTCO2)]]*40</f>
        <v>0</v>
      </c>
      <c r="Q564" s="167"/>
      <c r="R564" s="167" t="s">
        <v>400</v>
      </c>
      <c r="S564" s="167" t="s">
        <v>633</v>
      </c>
      <c r="T564" s="167" t="s">
        <v>537</v>
      </c>
      <c r="U564" s="2"/>
      <c r="V564" s="2"/>
      <c r="Y564" s="2"/>
    </row>
    <row r="565" spans="1:25" ht="172">
      <c r="A565" s="167" t="s">
        <v>85</v>
      </c>
      <c r="B565" s="167" t="s">
        <v>401</v>
      </c>
      <c r="C565" s="182" t="s">
        <v>464</v>
      </c>
      <c r="D565" s="172">
        <f>4200000*'Dev Bank Share by Country'!$E$78</f>
        <v>34112.330662532077</v>
      </c>
      <c r="E565" s="173" t="s">
        <v>448</v>
      </c>
      <c r="F565" s="173" t="s">
        <v>449</v>
      </c>
      <c r="G565" s="262" t="s">
        <v>792</v>
      </c>
      <c r="H565" s="173" t="s">
        <v>450</v>
      </c>
      <c r="I565" s="173" t="s">
        <v>40</v>
      </c>
      <c r="J565" s="173" t="s">
        <v>1502</v>
      </c>
      <c r="K565" s="241">
        <v>41404</v>
      </c>
      <c r="L565" s="173" t="s">
        <v>925</v>
      </c>
      <c r="M565" s="262"/>
      <c r="N565" s="256"/>
      <c r="O565" s="461">
        <f>CompletedProjects[[#This Row],[Power Plant Size (MW) or Share]]*0.593*9057*211.9*10^(-9)</f>
        <v>0</v>
      </c>
      <c r="P565" s="337">
        <f>CompletedProjects[[#This Row],[Annual Emissions (MMTCO2)]]*40</f>
        <v>0</v>
      </c>
      <c r="Q565" s="167"/>
      <c r="R565" s="167" t="s">
        <v>400</v>
      </c>
      <c r="S565" s="167" t="s">
        <v>465</v>
      </c>
      <c r="T565" s="167"/>
      <c r="U565" s="2"/>
      <c r="V565" s="2"/>
      <c r="Y565" s="2"/>
    </row>
    <row r="566" spans="1:25" ht="157.69999999999999">
      <c r="A566" s="167" t="s">
        <v>85</v>
      </c>
      <c r="B566" s="167" t="s">
        <v>513</v>
      </c>
      <c r="C566" s="182" t="s">
        <v>464</v>
      </c>
      <c r="D566" s="172">
        <f>180000000*'Dev Bank Share by Country'!$C$78</f>
        <v>1818000</v>
      </c>
      <c r="E566" s="173" t="s">
        <v>425</v>
      </c>
      <c r="F566" s="173" t="s">
        <v>426</v>
      </c>
      <c r="G566" s="262" t="s">
        <v>770</v>
      </c>
      <c r="H566" s="173" t="s">
        <v>65</v>
      </c>
      <c r="I566" s="180" t="s">
        <v>283</v>
      </c>
      <c r="J566" s="173" t="s">
        <v>277</v>
      </c>
      <c r="K566" s="241">
        <v>39982</v>
      </c>
      <c r="L566" s="173" t="s">
        <v>921</v>
      </c>
      <c r="M566" s="273"/>
      <c r="N566" s="256">
        <f>420/19</f>
        <v>22.105263157894736</v>
      </c>
      <c r="O566" s="461">
        <f>CompletedProjects[[#This Row],[Power Plant Size (MW) or Share]]*0.593*9057*211.9*10^(-9)</f>
        <v>2.5157397231473682E-2</v>
      </c>
      <c r="P566" s="337">
        <f>CompletedProjects[[#This Row],[Annual Emissions (MMTCO2)]]*40</f>
        <v>1.0062958892589473</v>
      </c>
      <c r="Q566" s="167"/>
      <c r="R566" s="167" t="s">
        <v>638</v>
      </c>
      <c r="S566" s="167" t="s">
        <v>466</v>
      </c>
      <c r="T566" s="167"/>
      <c r="U566" s="2"/>
      <c r="V566" s="2"/>
      <c r="Y566" s="2"/>
    </row>
    <row r="567" spans="1:25" ht="100.35">
      <c r="A567" s="167" t="s">
        <v>85</v>
      </c>
      <c r="B567" s="167" t="s">
        <v>511</v>
      </c>
      <c r="C567" s="167" t="s">
        <v>464</v>
      </c>
      <c r="D567" s="172">
        <f>25000000*'Dev Bank Share by Country'!$G$78</f>
        <v>307868.50404470746</v>
      </c>
      <c r="E567" s="173" t="s">
        <v>398</v>
      </c>
      <c r="F567" s="173" t="s">
        <v>398</v>
      </c>
      <c r="G567" s="262" t="s">
        <v>787</v>
      </c>
      <c r="H567" s="173" t="s">
        <v>399</v>
      </c>
      <c r="I567" s="180" t="s">
        <v>283</v>
      </c>
      <c r="J567" s="173" t="s">
        <v>26</v>
      </c>
      <c r="K567" s="241">
        <v>39204</v>
      </c>
      <c r="L567" s="173" t="s">
        <v>915</v>
      </c>
      <c r="M567" s="262"/>
      <c r="N567" s="256">
        <f>30/20</f>
        <v>1.5</v>
      </c>
      <c r="O567" s="461">
        <f>CompletedProjects[[#This Row],[Power Plant Size (MW) or Share]]*0.593*9057*211.9*10^(-9)</f>
        <v>1.7071090978499999E-3</v>
      </c>
      <c r="P567" s="337">
        <f>CompletedProjects[[#This Row],[Annual Emissions (MMTCO2)]]*40</f>
        <v>6.8284363914000001E-2</v>
      </c>
      <c r="Q567" s="176"/>
      <c r="R567" s="167" t="s">
        <v>635</v>
      </c>
      <c r="S567" s="167" t="s">
        <v>465</v>
      </c>
      <c r="T567" s="167"/>
      <c r="U567" s="2"/>
      <c r="V567" s="2"/>
      <c r="Y567" s="2"/>
    </row>
    <row r="568" spans="1:25" ht="71.7">
      <c r="A568" s="167" t="s">
        <v>85</v>
      </c>
      <c r="B568" s="186" t="s">
        <v>519</v>
      </c>
      <c r="C568" s="167" t="s">
        <v>464</v>
      </c>
      <c r="D568" s="172">
        <f>500000*'Dev Bank Share by Country'!$K$78</f>
        <v>27260</v>
      </c>
      <c r="E568" s="173" t="s">
        <v>531</v>
      </c>
      <c r="F568" s="173" t="s">
        <v>532</v>
      </c>
      <c r="G568" s="262"/>
      <c r="H568" s="173" t="s">
        <v>239</v>
      </c>
      <c r="I568" s="180" t="s">
        <v>283</v>
      </c>
      <c r="J568" s="173" t="s">
        <v>26</v>
      </c>
      <c r="K568" s="241">
        <v>40035</v>
      </c>
      <c r="L568" s="173" t="s">
        <v>1710</v>
      </c>
      <c r="M568" s="262"/>
      <c r="N568" s="337">
        <f>600/13</f>
        <v>46.153846153846153</v>
      </c>
      <c r="O568" s="461">
        <f>CompletedProjects[[#This Row],[Power Plant Size (MW) or Share]]*0.593*9057*211.9*10^(-9)</f>
        <v>5.2526433780000006E-2</v>
      </c>
      <c r="P568" s="337">
        <f>CompletedProjects[[#This Row],[Annual Emissions (MMTCO2)]]*40</f>
        <v>2.1010573512000001</v>
      </c>
      <c r="Q568" s="176"/>
      <c r="R568" s="178" t="s">
        <v>524</v>
      </c>
      <c r="S568" s="167"/>
      <c r="T568" s="178"/>
      <c r="U568" s="2"/>
      <c r="V568" s="2"/>
      <c r="Y568" s="2"/>
    </row>
    <row r="569" spans="1:25" ht="229.35">
      <c r="A569" s="167" t="s">
        <v>85</v>
      </c>
      <c r="B569" s="167" t="s">
        <v>513</v>
      </c>
      <c r="C569" s="167" t="s">
        <v>464</v>
      </c>
      <c r="D569" s="172">
        <f>1000000000*'Dev Bank Share by Country'!$C$78</f>
        <v>10100000</v>
      </c>
      <c r="E569" s="173" t="s">
        <v>425</v>
      </c>
      <c r="F569" s="173" t="s">
        <v>427</v>
      </c>
      <c r="G569" s="264" t="s">
        <v>778</v>
      </c>
      <c r="H569" s="173" t="s">
        <v>65</v>
      </c>
      <c r="I569" s="173" t="s">
        <v>1507</v>
      </c>
      <c r="J569" s="173" t="s">
        <v>428</v>
      </c>
      <c r="K569" s="241">
        <v>40078</v>
      </c>
      <c r="L569" s="173" t="s">
        <v>824</v>
      </c>
      <c r="M569" s="262"/>
      <c r="N569" s="256"/>
      <c r="O569" s="461">
        <f>CompletedProjects[[#This Row],[Power Plant Size (MW) or Share]]*0.593*9057*211.9*10^(-9)</f>
        <v>0</v>
      </c>
      <c r="P569" s="337">
        <f>CompletedProjects[[#This Row],[Annual Emissions (MMTCO2)]]*40</f>
        <v>0</v>
      </c>
      <c r="Q569" s="167"/>
      <c r="R569" s="167" t="s">
        <v>400</v>
      </c>
      <c r="S569" s="167" t="s">
        <v>465</v>
      </c>
      <c r="T569" s="167"/>
      <c r="U569" s="2"/>
      <c r="V569" s="2"/>
      <c r="Y569" s="2"/>
    </row>
    <row r="570" spans="1:25" ht="100.35">
      <c r="A570" s="167" t="s">
        <v>85</v>
      </c>
      <c r="B570" s="171" t="s">
        <v>511</v>
      </c>
      <c r="C570" s="171" t="s">
        <v>464</v>
      </c>
      <c r="D570" s="172">
        <f>46500000*'Dev Bank Share by Country'!$G$78</f>
        <v>572635.41752315592</v>
      </c>
      <c r="E570" s="173" t="s">
        <v>423</v>
      </c>
      <c r="F570" s="173" t="s">
        <v>424</v>
      </c>
      <c r="G570" s="262" t="s">
        <v>774</v>
      </c>
      <c r="H570" s="173" t="s">
        <v>65</v>
      </c>
      <c r="I570" s="173" t="s">
        <v>284</v>
      </c>
      <c r="J570" s="173" t="s">
        <v>79</v>
      </c>
      <c r="K570" s="241">
        <v>39898</v>
      </c>
      <c r="L570" s="173" t="s">
        <v>920</v>
      </c>
      <c r="M570" s="273"/>
      <c r="N570" s="256"/>
      <c r="O570" s="461">
        <f>CompletedProjects[[#This Row],[Power Plant Size (MW) or Share]]*0.593*9057*211.9*10^(-9)</f>
        <v>0</v>
      </c>
      <c r="P570" s="337">
        <f>CompletedProjects[[#This Row],[Annual Emissions (MMTCO2)]]*40</f>
        <v>0</v>
      </c>
      <c r="Q570" s="167"/>
      <c r="R570" s="167" t="s">
        <v>400</v>
      </c>
      <c r="S570" s="167" t="s">
        <v>465</v>
      </c>
      <c r="T570" s="167"/>
      <c r="U570" s="2"/>
      <c r="V570" s="2"/>
      <c r="Y570" s="2"/>
    </row>
    <row r="571" spans="1:25" ht="43">
      <c r="A571" s="167" t="s">
        <v>85</v>
      </c>
      <c r="B571" s="182" t="s">
        <v>511</v>
      </c>
      <c r="C571" s="182" t="s">
        <v>464</v>
      </c>
      <c r="D571" s="172">
        <f>740000000*'Dev Bank Share by Country'!$G$78</f>
        <v>9112907.719723342</v>
      </c>
      <c r="E571" s="173" t="s">
        <v>418</v>
      </c>
      <c r="F571" s="173" t="s">
        <v>419</v>
      </c>
      <c r="G571" s="262" t="s">
        <v>765</v>
      </c>
      <c r="H571" s="173" t="s">
        <v>144</v>
      </c>
      <c r="I571" s="180" t="s">
        <v>283</v>
      </c>
      <c r="J571" s="183" t="s">
        <v>26</v>
      </c>
      <c r="K571" s="241">
        <v>39520</v>
      </c>
      <c r="L571" s="202" t="s">
        <v>817</v>
      </c>
      <c r="M571" s="262"/>
      <c r="N571" s="256">
        <f>330/19</f>
        <v>17.368421052631579</v>
      </c>
      <c r="O571" s="461">
        <f>CompletedProjects[[#This Row],[Power Plant Size (MW) or Share]]*0.593*9057*211.9*10^(-9)</f>
        <v>1.9766526396157894E-2</v>
      </c>
      <c r="P571" s="337">
        <f>CompletedProjects[[#This Row],[Annual Emissions (MMTCO2)]]*40</f>
        <v>0.79066105584631574</v>
      </c>
      <c r="Q571" s="176"/>
      <c r="R571" s="167" t="s">
        <v>400</v>
      </c>
      <c r="S571" s="167" t="s">
        <v>633</v>
      </c>
      <c r="T571" s="167"/>
      <c r="U571" s="2"/>
      <c r="V571" s="2"/>
      <c r="Y571" s="2"/>
    </row>
    <row r="572" spans="1:25" ht="71.7">
      <c r="A572" s="167" t="s">
        <v>85</v>
      </c>
      <c r="B572" s="186" t="s">
        <v>519</v>
      </c>
      <c r="C572" s="167" t="s">
        <v>464</v>
      </c>
      <c r="D572" s="172">
        <f>350000*'Dev Bank Share by Country'!$K$78</f>
        <v>19082</v>
      </c>
      <c r="E572" s="173" t="s">
        <v>542</v>
      </c>
      <c r="F572" s="173" t="s">
        <v>543</v>
      </c>
      <c r="G572" s="262"/>
      <c r="H572" s="173" t="s">
        <v>201</v>
      </c>
      <c r="I572" s="173" t="s">
        <v>40</v>
      </c>
      <c r="J572" s="173" t="s">
        <v>40</v>
      </c>
      <c r="K572" s="241">
        <v>41977</v>
      </c>
      <c r="L572" s="173" t="s">
        <v>1713</v>
      </c>
      <c r="M572" s="262" t="s">
        <v>805</v>
      </c>
      <c r="N572" s="102"/>
      <c r="O572" s="461">
        <f>CompletedProjects[[#This Row],[Power Plant Size (MW) or Share]]*0.593*9057*211.9*10^(-9)</f>
        <v>0</v>
      </c>
      <c r="P572" s="337">
        <f>CompletedProjects[[#This Row],[Annual Emissions (MMTCO2)]]*40</f>
        <v>0</v>
      </c>
      <c r="Q572" s="173"/>
      <c r="R572" s="178"/>
      <c r="S572" s="167"/>
      <c r="T572" s="178"/>
      <c r="U572" s="2"/>
      <c r="V572" s="2"/>
      <c r="Y572" s="2"/>
    </row>
    <row r="573" spans="1:25" ht="258">
      <c r="A573" s="167" t="s">
        <v>85</v>
      </c>
      <c r="B573" s="167" t="s">
        <v>401</v>
      </c>
      <c r="C573" s="182" t="s">
        <v>464</v>
      </c>
      <c r="D573" s="172">
        <f>11000000*'Dev Bank Share by Country'!$E$78</f>
        <v>89341.818401869721</v>
      </c>
      <c r="E573" s="173" t="s">
        <v>420</v>
      </c>
      <c r="F573" s="173" t="s">
        <v>421</v>
      </c>
      <c r="G573" s="262" t="s">
        <v>769</v>
      </c>
      <c r="H573" s="173" t="s">
        <v>422</v>
      </c>
      <c r="I573" s="180" t="s">
        <v>283</v>
      </c>
      <c r="J573" s="173" t="s">
        <v>277</v>
      </c>
      <c r="K573" s="241">
        <v>39777</v>
      </c>
      <c r="L573" s="197"/>
      <c r="M573" s="273"/>
      <c r="N573" s="256"/>
      <c r="O573" s="461">
        <f>CompletedProjects[[#This Row],[Power Plant Size (MW) or Share]]*0.593*9057*211.9*10^(-9)</f>
        <v>0</v>
      </c>
      <c r="P573" s="337">
        <f>CompletedProjects[[#This Row],[Annual Emissions (MMTCO2)]]*40</f>
        <v>0</v>
      </c>
      <c r="Q573" s="167"/>
      <c r="R573" s="173" t="s">
        <v>834</v>
      </c>
      <c r="S573" s="167" t="s">
        <v>633</v>
      </c>
      <c r="T573" s="173"/>
      <c r="U573" s="2"/>
      <c r="V573" s="2"/>
      <c r="Y573" s="2"/>
    </row>
    <row r="574" spans="1:25" ht="71.7">
      <c r="A574" s="167" t="s">
        <v>85</v>
      </c>
      <c r="B574" s="186" t="s">
        <v>519</v>
      </c>
      <c r="C574" s="167" t="s">
        <v>464</v>
      </c>
      <c r="D574" s="172">
        <f>900525000*'Dev Bank Share by Country'!$K$78</f>
        <v>49096623</v>
      </c>
      <c r="E574" s="173" t="s">
        <v>510</v>
      </c>
      <c r="F574" s="173" t="s">
        <v>541</v>
      </c>
      <c r="G574" s="262"/>
      <c r="H574" s="173" t="s">
        <v>442</v>
      </c>
      <c r="I574" s="180" t="s">
        <v>283</v>
      </c>
      <c r="J574" s="173" t="s">
        <v>26</v>
      </c>
      <c r="K574" s="241">
        <v>41617</v>
      </c>
      <c r="L574" s="178" t="s">
        <v>1712</v>
      </c>
      <c r="M574" s="272" t="s">
        <v>902</v>
      </c>
      <c r="N574" s="337">
        <f>600/13</f>
        <v>46.153846153846153</v>
      </c>
      <c r="O574" s="461">
        <f>CompletedProjects[[#This Row],[Power Plant Size (MW) or Share]]*0.593*9057*211.9*10^(-9)</f>
        <v>5.2526433780000006E-2</v>
      </c>
      <c r="P574" s="337">
        <f>CompletedProjects[[#This Row],[Annual Emissions (MMTCO2)]]*40</f>
        <v>2.1010573512000001</v>
      </c>
      <c r="Q574" s="215"/>
      <c r="R574" s="178" t="s">
        <v>524</v>
      </c>
      <c r="S574" s="167"/>
      <c r="T574" s="178"/>
      <c r="U574" s="2"/>
      <c r="V574" s="2"/>
      <c r="Y574" s="2"/>
    </row>
    <row r="575" spans="1:25" ht="28.7">
      <c r="A575" s="181" t="s">
        <v>85</v>
      </c>
      <c r="B575" s="182" t="s">
        <v>519</v>
      </c>
      <c r="C575" s="182" t="s">
        <v>464</v>
      </c>
      <c r="D575" s="172">
        <f>70500000*'Dev Bank Share by Country'!$K$78</f>
        <v>3843660</v>
      </c>
      <c r="E575" s="183" t="s">
        <v>1400</v>
      </c>
      <c r="F575" s="183" t="s">
        <v>1399</v>
      </c>
      <c r="G575" s="267" t="s">
        <v>1401</v>
      </c>
      <c r="H575" s="183" t="s">
        <v>273</v>
      </c>
      <c r="I575" s="180" t="s">
        <v>283</v>
      </c>
      <c r="J575" s="183" t="s">
        <v>26</v>
      </c>
      <c r="K575" s="242">
        <v>40813</v>
      </c>
      <c r="L575" s="183" t="s">
        <v>1711</v>
      </c>
      <c r="M575" s="272"/>
      <c r="N575" s="338"/>
      <c r="O575" s="461">
        <f>CompletedProjects[[#This Row],[Power Plant Size (MW) or Share]]*0.593*9057*211.9*10^(-9)</f>
        <v>0</v>
      </c>
      <c r="P575" s="337">
        <f>CompletedProjects[[#This Row],[Annual Emissions (MMTCO2)]]*40</f>
        <v>0</v>
      </c>
      <c r="Q575" s="215"/>
      <c r="R575" s="185"/>
      <c r="S575" s="181"/>
      <c r="T575" s="185"/>
      <c r="U575" s="2"/>
      <c r="V575" s="2"/>
      <c r="Y575" s="2"/>
    </row>
    <row r="576" spans="1:25" ht="57.35">
      <c r="A576" s="167" t="s">
        <v>85</v>
      </c>
      <c r="B576" s="186" t="s">
        <v>519</v>
      </c>
      <c r="C576" s="167" t="s">
        <v>464</v>
      </c>
      <c r="D576" s="172">
        <f>200000000*'Dev Bank Share by Country'!$K$78</f>
        <v>10904000</v>
      </c>
      <c r="E576" s="173" t="s">
        <v>413</v>
      </c>
      <c r="F576" s="173" t="s">
        <v>523</v>
      </c>
      <c r="G576" s="262"/>
      <c r="H576" s="173" t="s">
        <v>95</v>
      </c>
      <c r="I576" s="180" t="s">
        <v>283</v>
      </c>
      <c r="J576" s="173" t="s">
        <v>277</v>
      </c>
      <c r="K576" s="241">
        <v>39554</v>
      </c>
      <c r="L576" s="167" t="s">
        <v>1319</v>
      </c>
      <c r="M576" s="262"/>
      <c r="N576" s="256">
        <f>600/13/2</f>
        <v>23.076923076923077</v>
      </c>
      <c r="O576" s="461">
        <f>CompletedProjects[[#This Row],[Power Plant Size (MW) or Share]]*0.593*9057*211.9*10^(-9)</f>
        <v>2.6263216890000003E-2</v>
      </c>
      <c r="P576" s="337">
        <f>CompletedProjects[[#This Row],[Annual Emissions (MMTCO2)]]*40</f>
        <v>1.0505286756000001</v>
      </c>
      <c r="Q576" s="203"/>
      <c r="R576" s="167" t="s">
        <v>641</v>
      </c>
      <c r="S576" s="167"/>
      <c r="T576" s="167"/>
      <c r="U576" s="2"/>
      <c r="V576" s="2"/>
      <c r="Y576" s="2"/>
    </row>
    <row r="577" spans="1:25" ht="43">
      <c r="A577" s="167" t="s">
        <v>85</v>
      </c>
      <c r="B577" s="186" t="s">
        <v>519</v>
      </c>
      <c r="C577" s="167" t="s">
        <v>464</v>
      </c>
      <c r="D577" s="172">
        <f>27860000*'Dev Bank Share by Country'!$K$78</f>
        <v>1518927.2</v>
      </c>
      <c r="E577" s="173" t="s">
        <v>520</v>
      </c>
      <c r="F577" s="173" t="s">
        <v>521</v>
      </c>
      <c r="G577" s="262"/>
      <c r="H577" s="173" t="s">
        <v>63</v>
      </c>
      <c r="I577" s="180" t="s">
        <v>283</v>
      </c>
      <c r="J577" s="173" t="s">
        <v>26</v>
      </c>
      <c r="K577" s="241">
        <v>39357</v>
      </c>
      <c r="L577" s="167" t="s">
        <v>1320</v>
      </c>
      <c r="M577" s="272"/>
      <c r="N577" s="256">
        <f>1080/13</f>
        <v>83.07692307692308</v>
      </c>
      <c r="O577" s="461">
        <f>CompletedProjects[[#This Row],[Power Plant Size (MW) or Share]]*0.593*9057*211.9*10^(-9)</f>
        <v>9.4547580804000012E-2</v>
      </c>
      <c r="P577" s="337">
        <f>CompletedProjects[[#This Row],[Annual Emissions (MMTCO2)]]*40</f>
        <v>3.7819032321600003</v>
      </c>
      <c r="Q577" s="290"/>
      <c r="R577" s="167" t="s">
        <v>522</v>
      </c>
      <c r="S577" s="167"/>
      <c r="T577" s="167"/>
      <c r="U577" s="2"/>
      <c r="V577" s="2"/>
      <c r="Y577" s="2"/>
    </row>
    <row r="578" spans="1:25" ht="272.35000000000002">
      <c r="A578" s="167" t="s">
        <v>85</v>
      </c>
      <c r="B578" s="167" t="s">
        <v>513</v>
      </c>
      <c r="C578" s="171" t="s">
        <v>464</v>
      </c>
      <c r="D578" s="172">
        <f>29600000*'Dev Bank Share by Country'!$C$78</f>
        <v>298960</v>
      </c>
      <c r="E578" s="173" t="s">
        <v>266</v>
      </c>
      <c r="F578" s="173" t="s">
        <v>1504</v>
      </c>
      <c r="G578" s="262" t="s">
        <v>781</v>
      </c>
      <c r="H578" s="173" t="s">
        <v>85</v>
      </c>
      <c r="I578" s="173" t="s">
        <v>284</v>
      </c>
      <c r="J578" s="173" t="s">
        <v>1498</v>
      </c>
      <c r="K578" s="241">
        <v>41163</v>
      </c>
      <c r="L578" s="173" t="s">
        <v>1505</v>
      </c>
      <c r="M578" s="272"/>
      <c r="N578" s="256"/>
      <c r="O578" s="461">
        <f>CompletedProjects[[#This Row],[Power Plant Size (MW) or Share]]*0.593*9057*211.9*10^(-9)</f>
        <v>0</v>
      </c>
      <c r="P578" s="337">
        <f>CompletedProjects[[#This Row],[Annual Emissions (MMTCO2)]]*40</f>
        <v>0</v>
      </c>
      <c r="Q578" s="212"/>
      <c r="R578" s="167" t="s">
        <v>400</v>
      </c>
      <c r="S578" s="167" t="s">
        <v>465</v>
      </c>
      <c r="T578" s="167"/>
      <c r="U578" s="2"/>
      <c r="V578" s="2"/>
      <c r="Y578" s="2"/>
    </row>
    <row r="579" spans="1:25" ht="86">
      <c r="A579" s="167" t="s">
        <v>85</v>
      </c>
      <c r="B579" s="182" t="s">
        <v>511</v>
      </c>
      <c r="C579" s="182" t="s">
        <v>464</v>
      </c>
      <c r="D579" s="172">
        <f>8000000*'Dev Bank Share by Country'!$G$78</f>
        <v>98517.92129430639</v>
      </c>
      <c r="E579" s="173" t="s">
        <v>405</v>
      </c>
      <c r="F579" s="173" t="s">
        <v>406</v>
      </c>
      <c r="G579" s="262" t="s">
        <v>786</v>
      </c>
      <c r="H579" s="173" t="s">
        <v>65</v>
      </c>
      <c r="I579" s="180" t="s">
        <v>283</v>
      </c>
      <c r="J579" s="173" t="s">
        <v>26</v>
      </c>
      <c r="K579" s="241">
        <v>39234</v>
      </c>
      <c r="L579" s="173" t="s">
        <v>815</v>
      </c>
      <c r="M579" s="262" t="s">
        <v>806</v>
      </c>
      <c r="N579" s="256">
        <f>600/19</f>
        <v>31.578947368421051</v>
      </c>
      <c r="O579" s="461">
        <f>CompletedProjects[[#This Row],[Power Plant Size (MW) or Share]]*0.593*9057*211.9*10^(-9)</f>
        <v>3.5939138902105268E-2</v>
      </c>
      <c r="P579" s="337">
        <f>CompletedProjects[[#This Row],[Annual Emissions (MMTCO2)]]*40</f>
        <v>1.4375655560842107</v>
      </c>
      <c r="Q579" s="167"/>
      <c r="R579" s="167" t="s">
        <v>467</v>
      </c>
      <c r="S579" s="167" t="s">
        <v>633</v>
      </c>
      <c r="T579" s="167"/>
      <c r="U579" s="2"/>
      <c r="V579" s="2"/>
      <c r="Y579" s="2"/>
    </row>
    <row r="580" spans="1:25" ht="71.7">
      <c r="A580" s="167" t="s">
        <v>85</v>
      </c>
      <c r="B580" s="186" t="s">
        <v>519</v>
      </c>
      <c r="C580" s="167" t="s">
        <v>464</v>
      </c>
      <c r="D580" s="172">
        <f>902850000*'Dev Bank Share by Country'!$K$78</f>
        <v>49223382</v>
      </c>
      <c r="E580" s="173" t="s">
        <v>91</v>
      </c>
      <c r="F580" s="173" t="s">
        <v>536</v>
      </c>
      <c r="G580" s="262"/>
      <c r="H580" s="173" t="s">
        <v>63</v>
      </c>
      <c r="I580" s="180" t="s">
        <v>283</v>
      </c>
      <c r="J580" s="173" t="s">
        <v>26</v>
      </c>
      <c r="K580" s="241">
        <v>40168</v>
      </c>
      <c r="L580" s="173" t="s">
        <v>1323</v>
      </c>
      <c r="M580" s="262"/>
      <c r="N580" s="337"/>
      <c r="O580" s="461">
        <f>CompletedProjects[[#This Row],[Power Plant Size (MW) or Share]]*0.593*9057*211.9*10^(-9)</f>
        <v>0</v>
      </c>
      <c r="P580" s="337">
        <f>CompletedProjects[[#This Row],[Annual Emissions (MMTCO2)]]*40</f>
        <v>0</v>
      </c>
      <c r="Q580" s="176"/>
      <c r="R580" s="178" t="s">
        <v>537</v>
      </c>
      <c r="S580" s="167"/>
      <c r="T580" s="178"/>
      <c r="U580" s="22"/>
      <c r="V580" s="2"/>
      <c r="X580" s="30"/>
      <c r="Y580" s="2"/>
    </row>
    <row r="581" spans="1:25" ht="114.7">
      <c r="A581" s="167" t="s">
        <v>85</v>
      </c>
      <c r="B581" s="182" t="s">
        <v>511</v>
      </c>
      <c r="C581" s="182" t="s">
        <v>464</v>
      </c>
      <c r="D581" s="172">
        <f>275000000*'Dev Bank Share by Country'!$G$78</f>
        <v>3386553.5444917823</v>
      </c>
      <c r="E581" s="173" t="s">
        <v>413</v>
      </c>
      <c r="F581" s="173" t="s">
        <v>413</v>
      </c>
      <c r="G581" s="262" t="s">
        <v>766</v>
      </c>
      <c r="H581" s="173" t="s">
        <v>95</v>
      </c>
      <c r="I581" s="180" t="s">
        <v>283</v>
      </c>
      <c r="J581" s="173" t="s">
        <v>277</v>
      </c>
      <c r="K581" s="241">
        <v>39394</v>
      </c>
      <c r="L581" s="173" t="s">
        <v>917</v>
      </c>
      <c r="M581" s="262"/>
      <c r="N581" s="256">
        <f>600/7/2</f>
        <v>42.857142857142854</v>
      </c>
      <c r="O581" s="461">
        <f>CompletedProjects[[#This Row],[Power Plant Size (MW) or Share]]*0.593*9057*211.9*10^(-9)</f>
        <v>4.8774545652857132E-2</v>
      </c>
      <c r="P581" s="337">
        <f>CompletedProjects[[#This Row],[Annual Emissions (MMTCO2)]]*40</f>
        <v>1.9509818261142853</v>
      </c>
      <c r="Q581" s="167"/>
      <c r="R581" s="167" t="s">
        <v>640</v>
      </c>
      <c r="S581" s="167" t="s">
        <v>465</v>
      </c>
      <c r="T581" s="167"/>
      <c r="U581" s="22"/>
      <c r="V581" s="2"/>
      <c r="X581" s="30"/>
      <c r="Y581" s="2"/>
    </row>
    <row r="582" spans="1:25" ht="57.35">
      <c r="A582" s="181" t="s">
        <v>85</v>
      </c>
      <c r="B582" s="182" t="s">
        <v>519</v>
      </c>
      <c r="C582" s="182" t="s">
        <v>464</v>
      </c>
      <c r="D582" s="172">
        <f>450000000*'Dev Bank Share by Country'!$K$78</f>
        <v>24534000</v>
      </c>
      <c r="E582" s="183" t="s">
        <v>1395</v>
      </c>
      <c r="F582" s="183" t="s">
        <v>1393</v>
      </c>
      <c r="G582" s="262" t="s">
        <v>1394</v>
      </c>
      <c r="H582" s="183" t="s">
        <v>65</v>
      </c>
      <c r="I582" s="180" t="s">
        <v>283</v>
      </c>
      <c r="J582" s="183" t="s">
        <v>26</v>
      </c>
      <c r="K582" s="242">
        <v>39562</v>
      </c>
      <c r="L582" s="173" t="s">
        <v>525</v>
      </c>
      <c r="M582" s="262" t="s">
        <v>821</v>
      </c>
      <c r="N582" s="337">
        <f>4000/3/13</f>
        <v>102.56410256410255</v>
      </c>
      <c r="O582" s="461">
        <f>CompletedProjects[[#This Row],[Power Plant Size (MW) or Share]]*0.593*9057*211.9*10^(-9)</f>
        <v>0.11672540839999998</v>
      </c>
      <c r="P582" s="337">
        <f>CompletedProjects[[#This Row],[Annual Emissions (MMTCO2)]]*40</f>
        <v>4.6690163359999994</v>
      </c>
      <c r="Q582" s="176"/>
      <c r="R582" s="173" t="s">
        <v>1396</v>
      </c>
      <c r="S582" s="167"/>
      <c r="T582" s="173"/>
      <c r="U582" s="22"/>
      <c r="V582" s="2"/>
      <c r="X582" s="30"/>
      <c r="Y582" s="2"/>
    </row>
    <row r="583" spans="1:25" ht="57.35">
      <c r="A583" s="167" t="s">
        <v>85</v>
      </c>
      <c r="B583" s="186" t="s">
        <v>519</v>
      </c>
      <c r="C583" s="167" t="s">
        <v>464</v>
      </c>
      <c r="D583" s="172"/>
      <c r="E583" s="173" t="s">
        <v>526</v>
      </c>
      <c r="F583" s="173" t="s">
        <v>527</v>
      </c>
      <c r="G583" s="174" t="s">
        <v>901</v>
      </c>
      <c r="H583" s="173" t="s">
        <v>95</v>
      </c>
      <c r="I583" s="180" t="s">
        <v>283</v>
      </c>
      <c r="J583" s="173" t="s">
        <v>277</v>
      </c>
      <c r="K583" s="241">
        <v>39601</v>
      </c>
      <c r="L583" s="172">
        <f>120000000*'Dev Bank Share by Country'!$K$78</f>
        <v>6542400</v>
      </c>
      <c r="M583" s="455"/>
      <c r="N583" s="337"/>
      <c r="O583" s="461">
        <f>CompletedProjects[[#This Row],[Power Plant Size (MW) or Share]]*0.593*9057*211.9*10^(-9)</f>
        <v>0</v>
      </c>
      <c r="P583" s="337">
        <f>CompletedProjects[[#This Row],[Annual Emissions (MMTCO2)]]*40</f>
        <v>0</v>
      </c>
      <c r="Q583" s="215"/>
      <c r="R583" s="178" t="s">
        <v>1321</v>
      </c>
      <c r="S583" s="167" t="s">
        <v>1688</v>
      </c>
      <c r="T583" s="178"/>
      <c r="U583" s="2"/>
      <c r="V583" s="2"/>
      <c r="Y583" s="2"/>
    </row>
    <row r="584" spans="1:25" ht="172">
      <c r="A584" s="167" t="s">
        <v>85</v>
      </c>
      <c r="B584" s="167" t="s">
        <v>401</v>
      </c>
      <c r="C584" s="182" t="s">
        <v>464</v>
      </c>
      <c r="D584" s="172">
        <f>11250000*'Dev Bank Share by Country'!$E$78</f>
        <v>91372.314274639488</v>
      </c>
      <c r="E584" s="173" t="s">
        <v>270</v>
      </c>
      <c r="F584" s="173" t="s">
        <v>433</v>
      </c>
      <c r="G584" s="262" t="s">
        <v>767</v>
      </c>
      <c r="H584" s="173" t="s">
        <v>201</v>
      </c>
      <c r="I584" s="173" t="s">
        <v>40</v>
      </c>
      <c r="J584" s="173" t="s">
        <v>417</v>
      </c>
      <c r="K584" s="241">
        <v>40673</v>
      </c>
      <c r="L584" s="173" t="s">
        <v>828</v>
      </c>
      <c r="M584" s="273" t="s">
        <v>827</v>
      </c>
      <c r="N584" s="256"/>
      <c r="O584" s="461">
        <f>CompletedProjects[[#This Row],[Power Plant Size (MW) or Share]]*0.593*9057*211.9*10^(-9)</f>
        <v>0</v>
      </c>
      <c r="P584" s="337">
        <f>CompletedProjects[[#This Row],[Annual Emissions (MMTCO2)]]*40</f>
        <v>0</v>
      </c>
      <c r="Q584" s="167"/>
      <c r="R584" s="167" t="s">
        <v>400</v>
      </c>
      <c r="S584" s="167" t="s">
        <v>465</v>
      </c>
      <c r="T584" s="167"/>
      <c r="U584" s="2"/>
      <c r="V584" s="2"/>
      <c r="Y584" s="2"/>
    </row>
    <row r="585" spans="1:25" ht="86">
      <c r="A585" s="167" t="s">
        <v>85</v>
      </c>
      <c r="B585" s="186" t="s">
        <v>519</v>
      </c>
      <c r="C585" s="167" t="s">
        <v>464</v>
      </c>
      <c r="D585" s="172">
        <f>200000*'Dev Bank Share by Country'!$K$78</f>
        <v>10904</v>
      </c>
      <c r="E585" s="173" t="s">
        <v>528</v>
      </c>
      <c r="F585" s="173" t="s">
        <v>529</v>
      </c>
      <c r="G585" s="262"/>
      <c r="H585" s="173" t="s">
        <v>239</v>
      </c>
      <c r="I585" s="180" t="s">
        <v>283</v>
      </c>
      <c r="J585" s="173" t="s">
        <v>26</v>
      </c>
      <c r="K585" s="241">
        <v>39729</v>
      </c>
      <c r="L585" s="183" t="s">
        <v>1709</v>
      </c>
      <c r="M585" s="262"/>
      <c r="N585" s="337"/>
      <c r="O585" s="461">
        <f>CompletedProjects[[#This Row],[Power Plant Size (MW) or Share]]*0.593*9057*211.9*10^(-9)</f>
        <v>0</v>
      </c>
      <c r="P585" s="337">
        <f>CompletedProjects[[#This Row],[Annual Emissions (MMTCO2)]]*40</f>
        <v>0</v>
      </c>
      <c r="Q585" s="176"/>
      <c r="R585" s="178" t="s">
        <v>530</v>
      </c>
      <c r="S585" s="167"/>
      <c r="T585" s="178"/>
      <c r="U585" s="2"/>
      <c r="V585" s="2"/>
      <c r="Y585" s="2"/>
    </row>
    <row r="586" spans="1:25" ht="57.35">
      <c r="A586" s="181" t="s">
        <v>85</v>
      </c>
      <c r="B586" s="171" t="s">
        <v>445</v>
      </c>
      <c r="C586" s="171" t="s">
        <v>464</v>
      </c>
      <c r="D586" s="172">
        <f>450000000*'Dev Bank Share by Country'!$G$78</f>
        <v>5541633.072804735</v>
      </c>
      <c r="E586" s="183" t="s">
        <v>1395</v>
      </c>
      <c r="F586" s="183" t="s">
        <v>1393</v>
      </c>
      <c r="G586" s="262" t="s">
        <v>1394</v>
      </c>
      <c r="H586" s="183" t="s">
        <v>65</v>
      </c>
      <c r="I586" s="180" t="s">
        <v>283</v>
      </c>
      <c r="J586" s="183" t="s">
        <v>26</v>
      </c>
      <c r="K586" s="242">
        <v>39562</v>
      </c>
      <c r="L586" s="183" t="s">
        <v>1396</v>
      </c>
      <c r="M586" s="262" t="s">
        <v>768</v>
      </c>
      <c r="N586" s="337">
        <f>4000/3/20</f>
        <v>66.666666666666657</v>
      </c>
      <c r="O586" s="461">
        <f>CompletedProjects[[#This Row],[Power Plant Size (MW) or Share]]*0.593*9057*211.9*10^(-9)</f>
        <v>7.5871515459999983E-2</v>
      </c>
      <c r="P586" s="337">
        <f>CompletedProjects[[#This Row],[Annual Emissions (MMTCO2)]]*40</f>
        <v>3.0348606183999993</v>
      </c>
      <c r="Q586" s="176"/>
      <c r="R586" s="178"/>
      <c r="S586" s="167"/>
      <c r="T586" s="178"/>
      <c r="U586" s="2"/>
      <c r="V586" s="2"/>
      <c r="Y586" s="2"/>
    </row>
    <row r="587" spans="1:25" ht="57.35">
      <c r="A587" s="167" t="s">
        <v>85</v>
      </c>
      <c r="B587" s="182" t="s">
        <v>511</v>
      </c>
      <c r="C587" s="182" t="s">
        <v>464</v>
      </c>
      <c r="D587" s="172">
        <f>18000000*'Dev Bank Share by Country'!$G$78</f>
        <v>221665.32291218938</v>
      </c>
      <c r="E587" s="173" t="s">
        <v>407</v>
      </c>
      <c r="F587" s="173" t="s">
        <v>407</v>
      </c>
      <c r="G587" s="262" t="s">
        <v>776</v>
      </c>
      <c r="H587" s="173" t="s">
        <v>85</v>
      </c>
      <c r="I587" s="180" t="s">
        <v>283</v>
      </c>
      <c r="J587" s="173" t="s">
        <v>409</v>
      </c>
      <c r="K587" s="241">
        <v>39254</v>
      </c>
      <c r="L587" s="173" t="s">
        <v>816</v>
      </c>
      <c r="M587" s="262"/>
      <c r="N587" s="256">
        <f>60/19</f>
        <v>3.1578947368421053</v>
      </c>
      <c r="O587" s="461">
        <f>CompletedProjects[[#This Row],[Power Plant Size (MW) or Share]]*0.593*9057*211.9*10^(-9)</f>
        <v>3.5939138902105262E-3</v>
      </c>
      <c r="P587" s="337">
        <f>CompletedProjects[[#This Row],[Annual Emissions (MMTCO2)]]*40</f>
        <v>0.14375655560842104</v>
      </c>
      <c r="Q587" s="167"/>
      <c r="R587" s="167" t="s">
        <v>636</v>
      </c>
      <c r="S587" s="167" t="s">
        <v>633</v>
      </c>
      <c r="T587" s="167"/>
      <c r="U587" s="22"/>
      <c r="V587" s="2"/>
      <c r="X587" s="30"/>
      <c r="Y587" s="2"/>
    </row>
    <row r="588" spans="1:25" ht="86">
      <c r="A588" s="167" t="s">
        <v>85</v>
      </c>
      <c r="B588" s="167" t="s">
        <v>401</v>
      </c>
      <c r="C588" s="182" t="s">
        <v>464</v>
      </c>
      <c r="D588" s="172">
        <f>7500000*'Dev Bank Share by Country'!$E$78</f>
        <v>60914.876183092994</v>
      </c>
      <c r="E588" s="173" t="s">
        <v>456</v>
      </c>
      <c r="F588" s="173" t="s">
        <v>457</v>
      </c>
      <c r="G588" s="262" t="s">
        <v>794</v>
      </c>
      <c r="H588" s="173" t="s">
        <v>458</v>
      </c>
      <c r="I588" s="180" t="s">
        <v>283</v>
      </c>
      <c r="J588" s="173" t="s">
        <v>26</v>
      </c>
      <c r="K588" s="241">
        <v>41627</v>
      </c>
      <c r="L588" s="173" t="s">
        <v>899</v>
      </c>
      <c r="M588" s="262"/>
      <c r="N588" s="256">
        <f>125/19</f>
        <v>6.5789473684210522</v>
      </c>
      <c r="O588" s="461">
        <f>CompletedProjects[[#This Row],[Power Plant Size (MW) or Share]]*0.593*9057*211.9*10^(-9)</f>
        <v>7.487320604605263E-3</v>
      </c>
      <c r="P588" s="337">
        <f>CompletedProjects[[#This Row],[Annual Emissions (MMTCO2)]]*40</f>
        <v>0.29949282418421053</v>
      </c>
      <c r="Q588" s="167"/>
      <c r="R588" s="167" t="s">
        <v>637</v>
      </c>
      <c r="S588" s="167" t="s">
        <v>633</v>
      </c>
      <c r="T588" s="167" t="s">
        <v>537</v>
      </c>
      <c r="U588" s="22"/>
      <c r="V588" s="2"/>
      <c r="X588" s="30"/>
      <c r="Y588" s="2"/>
    </row>
    <row r="589" spans="1:25" ht="100.35">
      <c r="A589" s="167" t="s">
        <v>85</v>
      </c>
      <c r="B589" s="182" t="s">
        <v>511</v>
      </c>
      <c r="C589" s="182" t="s">
        <v>464</v>
      </c>
      <c r="D589" s="172">
        <f>146970000*'Dev Bank Share by Country'!$G$78</f>
        <v>1809897.3615780263</v>
      </c>
      <c r="E589" s="173" t="s">
        <v>459</v>
      </c>
      <c r="F589" s="173" t="s">
        <v>460</v>
      </c>
      <c r="G589" s="262" t="s">
        <v>784</v>
      </c>
      <c r="H589" s="173" t="s">
        <v>239</v>
      </c>
      <c r="I589" s="180" t="s">
        <v>283</v>
      </c>
      <c r="J589" s="173" t="s">
        <v>26</v>
      </c>
      <c r="K589" s="241">
        <v>41701</v>
      </c>
      <c r="L589" s="173" t="s">
        <v>900</v>
      </c>
      <c r="M589" s="262"/>
      <c r="N589" s="256"/>
      <c r="O589" s="461">
        <f>CompletedProjects[[#This Row],[Power Plant Size (MW) or Share]]*0.593*9057*211.9*10^(-9)</f>
        <v>0</v>
      </c>
      <c r="P589" s="337">
        <f>CompletedProjects[[#This Row],[Annual Emissions (MMTCO2)]]*40</f>
        <v>0</v>
      </c>
      <c r="Q589" s="167"/>
      <c r="R589" s="167" t="s">
        <v>400</v>
      </c>
      <c r="S589" s="167" t="s">
        <v>465</v>
      </c>
      <c r="T589" s="167"/>
      <c r="U589" s="22"/>
      <c r="V589" s="2"/>
      <c r="X589" s="30"/>
      <c r="Y589" s="2"/>
    </row>
    <row r="590" spans="1:25" ht="28.7">
      <c r="A590" s="183" t="s">
        <v>85</v>
      </c>
      <c r="B590" s="183" t="s">
        <v>519</v>
      </c>
      <c r="C590" s="183" t="s">
        <v>464</v>
      </c>
      <c r="D590" s="172">
        <f>120000000*'Dev Bank Share by Country'!$K$78</f>
        <v>6542400</v>
      </c>
      <c r="E590" s="173" t="s">
        <v>533</v>
      </c>
      <c r="F590" s="173" t="s">
        <v>534</v>
      </c>
      <c r="G590" s="262"/>
      <c r="H590" s="173" t="s">
        <v>95</v>
      </c>
      <c r="I590" s="180" t="s">
        <v>283</v>
      </c>
      <c r="J590" s="173" t="s">
        <v>277</v>
      </c>
      <c r="K590" s="241">
        <v>40158</v>
      </c>
      <c r="L590" s="173" t="s">
        <v>535</v>
      </c>
      <c r="M590" s="262"/>
      <c r="N590" s="337">
        <f>200/13</f>
        <v>15.384615384615385</v>
      </c>
      <c r="O590" s="461">
        <f>CompletedProjects[[#This Row],[Power Plant Size (MW) or Share]]*0.593*9057*211.9*10^(-9)</f>
        <v>1.750881126E-2</v>
      </c>
      <c r="P590" s="337">
        <f>CompletedProjects[[#This Row],[Annual Emissions (MMTCO2)]]*40</f>
        <v>0.70035245040000005</v>
      </c>
      <c r="Q590" s="176"/>
      <c r="R590" s="178"/>
      <c r="S590" s="167"/>
      <c r="T590" s="178"/>
      <c r="U590" s="22"/>
      <c r="V590" s="2"/>
      <c r="X590" s="30"/>
      <c r="Y590" s="2"/>
    </row>
    <row r="591" spans="1:25" ht="157.69999999999999">
      <c r="A591" s="167" t="s">
        <v>85</v>
      </c>
      <c r="B591" s="167" t="s">
        <v>401</v>
      </c>
      <c r="C591" s="182" t="s">
        <v>464</v>
      </c>
      <c r="D591" s="172">
        <f>2000000*'Dev Bank Share by Country'!$E$78</f>
        <v>16243.966982158132</v>
      </c>
      <c r="E591" s="173" t="s">
        <v>410</v>
      </c>
      <c r="F591" s="173" t="s">
        <v>411</v>
      </c>
      <c r="G591" s="262" t="s">
        <v>777</v>
      </c>
      <c r="H591" s="173" t="s">
        <v>412</v>
      </c>
      <c r="I591" s="173" t="s">
        <v>284</v>
      </c>
      <c r="J591" s="173" t="s">
        <v>1498</v>
      </c>
      <c r="K591" s="241">
        <v>39261</v>
      </c>
      <c r="L591" s="173" t="s">
        <v>916</v>
      </c>
      <c r="M591" s="262"/>
      <c r="N591" s="256"/>
      <c r="O591" s="461">
        <f>CompletedProjects[[#This Row],[Power Plant Size (MW) or Share]]*0.593*9057*211.9*10^(-9)</f>
        <v>0</v>
      </c>
      <c r="P591" s="337">
        <f>CompletedProjects[[#This Row],[Annual Emissions (MMTCO2)]]*40</f>
        <v>0</v>
      </c>
      <c r="Q591" s="167"/>
      <c r="R591" s="167" t="s">
        <v>400</v>
      </c>
      <c r="S591" s="167" t="s">
        <v>633</v>
      </c>
      <c r="T591" s="167"/>
      <c r="U591" s="2"/>
      <c r="V591" s="2"/>
      <c r="Y591" s="2"/>
    </row>
    <row r="592" spans="1:25" ht="114.7">
      <c r="A592" s="167" t="s">
        <v>85</v>
      </c>
      <c r="B592" s="167" t="s">
        <v>513</v>
      </c>
      <c r="C592" s="182" t="s">
        <v>464</v>
      </c>
      <c r="D592" s="172">
        <f>3040000000*'Dev Bank Share by Country'!$C$78</f>
        <v>30704000</v>
      </c>
      <c r="E592" s="173" t="s">
        <v>41</v>
      </c>
      <c r="F592" s="173" t="s">
        <v>432</v>
      </c>
      <c r="G592" s="262" t="s">
        <v>773</v>
      </c>
      <c r="H592" s="173" t="s">
        <v>25</v>
      </c>
      <c r="I592" s="180" t="s">
        <v>283</v>
      </c>
      <c r="J592" s="173" t="s">
        <v>26</v>
      </c>
      <c r="K592" s="241">
        <v>40276</v>
      </c>
      <c r="L592" s="173" t="s">
        <v>923</v>
      </c>
      <c r="M592" s="273"/>
      <c r="N592" s="337">
        <f>4800/19/2</f>
        <v>126.31578947368421</v>
      </c>
      <c r="O592" s="461">
        <f>CompletedProjects[[#This Row],[Power Plant Size (MW) or Share]]*0.593*9057*211.9*10^(-9)</f>
        <v>0.14375655560842107</v>
      </c>
      <c r="P592" s="337">
        <f>CompletedProjects[[#This Row],[Annual Emissions (MMTCO2)]]*40</f>
        <v>5.7502622243368426</v>
      </c>
      <c r="Q592" s="167"/>
      <c r="R592" s="178" t="s">
        <v>643</v>
      </c>
      <c r="S592" s="167" t="s">
        <v>465</v>
      </c>
      <c r="T592" s="178"/>
      <c r="U592" s="2"/>
      <c r="V592" s="2"/>
      <c r="Y592" s="2"/>
    </row>
    <row r="593" spans="1:25" ht="100.35">
      <c r="A593" s="167" t="s">
        <v>85</v>
      </c>
      <c r="B593" s="167" t="s">
        <v>513</v>
      </c>
      <c r="C593" s="167" t="s">
        <v>464</v>
      </c>
      <c r="D593" s="172">
        <f>379060000*'Dev Bank Share by Country'!$C$78</f>
        <v>3828506</v>
      </c>
      <c r="E593" s="173" t="s">
        <v>429</v>
      </c>
      <c r="F593" s="173" t="s">
        <v>430</v>
      </c>
      <c r="G593" s="262" t="s">
        <v>779</v>
      </c>
      <c r="H593" s="173" t="s">
        <v>431</v>
      </c>
      <c r="I593" s="180" t="s">
        <v>283</v>
      </c>
      <c r="J593" s="173" t="s">
        <v>26</v>
      </c>
      <c r="K593" s="241">
        <v>40115</v>
      </c>
      <c r="L593" s="173" t="s">
        <v>922</v>
      </c>
      <c r="M593" s="262"/>
      <c r="N593" s="337">
        <f>600/19/2</f>
        <v>15.789473684210526</v>
      </c>
      <c r="O593" s="461">
        <f>CompletedProjects[[#This Row],[Power Plant Size (MW) or Share]]*0.593*9057*211.9*10^(-9)</f>
        <v>1.7969569451052634E-2</v>
      </c>
      <c r="P593" s="337">
        <f>CompletedProjects[[#This Row],[Annual Emissions (MMTCO2)]]*40</f>
        <v>0.71878277804210533</v>
      </c>
      <c r="Q593" s="167"/>
      <c r="R593" s="178" t="s">
        <v>640</v>
      </c>
      <c r="S593" s="167" t="s">
        <v>633</v>
      </c>
      <c r="T593" s="178"/>
      <c r="U593" s="2"/>
      <c r="V593" s="2"/>
      <c r="Y593" s="2"/>
    </row>
    <row r="594" spans="1:25" ht="172">
      <c r="A594" s="167" t="s">
        <v>85</v>
      </c>
      <c r="B594" s="167" t="s">
        <v>401</v>
      </c>
      <c r="C594" s="171" t="s">
        <v>464</v>
      </c>
      <c r="D594" s="172">
        <f>21000000*'Dev Bank Share by Country'!$E$78</f>
        <v>170561.65331266038</v>
      </c>
      <c r="E594" s="173" t="s">
        <v>451</v>
      </c>
      <c r="F594" s="173" t="s">
        <v>452</v>
      </c>
      <c r="G594" s="262" t="s">
        <v>793</v>
      </c>
      <c r="H594" s="173" t="s">
        <v>453</v>
      </c>
      <c r="I594" s="173" t="s">
        <v>284</v>
      </c>
      <c r="J594" s="173" t="s">
        <v>1498</v>
      </c>
      <c r="K594" s="241">
        <v>41471</v>
      </c>
      <c r="L594" s="173" t="s">
        <v>926</v>
      </c>
      <c r="M594" s="262" t="s">
        <v>898</v>
      </c>
      <c r="N594" s="256"/>
      <c r="O594" s="461">
        <f>CompletedProjects[[#This Row],[Power Plant Size (MW) or Share]]*0.593*9057*211.9*10^(-9)</f>
        <v>0</v>
      </c>
      <c r="P594" s="337">
        <f>CompletedProjects[[#This Row],[Annual Emissions (MMTCO2)]]*40</f>
        <v>0</v>
      </c>
      <c r="Q594" s="167"/>
      <c r="R594" s="167" t="s">
        <v>400</v>
      </c>
      <c r="S594" s="167" t="s">
        <v>633</v>
      </c>
      <c r="T594" s="167" t="s">
        <v>537</v>
      </c>
      <c r="U594" s="2"/>
      <c r="V594" s="2"/>
      <c r="Y594" s="2"/>
    </row>
    <row r="595" spans="1:25" ht="172">
      <c r="A595" s="167" t="s">
        <v>85</v>
      </c>
      <c r="B595" s="167" t="s">
        <v>401</v>
      </c>
      <c r="C595" s="171" t="s">
        <v>464</v>
      </c>
      <c r="D595" s="172">
        <f>12100000*'Dev Bank Share by Country'!$E$78</f>
        <v>98276.000242056689</v>
      </c>
      <c r="E595" s="173" t="s">
        <v>451</v>
      </c>
      <c r="F595" s="173" t="s">
        <v>452</v>
      </c>
      <c r="G595" s="262" t="s">
        <v>793</v>
      </c>
      <c r="H595" s="173" t="s">
        <v>453</v>
      </c>
      <c r="I595" s="173" t="s">
        <v>284</v>
      </c>
      <c r="J595" s="173" t="s">
        <v>1498</v>
      </c>
      <c r="K595" s="241">
        <v>41471</v>
      </c>
      <c r="L595" s="173" t="s">
        <v>926</v>
      </c>
      <c r="M595" s="262" t="s">
        <v>898</v>
      </c>
      <c r="N595" s="256"/>
      <c r="O595" s="461">
        <f>CompletedProjects[[#This Row],[Power Plant Size (MW) or Share]]*0.593*9057*211.9*10^(-9)</f>
        <v>0</v>
      </c>
      <c r="P595" s="337">
        <f>CompletedProjects[[#This Row],[Annual Emissions (MMTCO2)]]*40</f>
        <v>0</v>
      </c>
      <c r="Q595" s="167"/>
      <c r="R595" s="167" t="s">
        <v>400</v>
      </c>
      <c r="S595" s="167" t="s">
        <v>633</v>
      </c>
      <c r="T595" s="167" t="s">
        <v>537</v>
      </c>
      <c r="U595" s="2"/>
      <c r="V595" s="2"/>
      <c r="Y595" s="2"/>
    </row>
    <row r="596" spans="1:25" ht="215">
      <c r="A596" s="167" t="s">
        <v>85</v>
      </c>
      <c r="B596" s="182" t="s">
        <v>511</v>
      </c>
      <c r="C596" s="182" t="s">
        <v>464</v>
      </c>
      <c r="D596" s="172">
        <f>28000000*'Dev Bank Share by Country'!$G$78</f>
        <v>344812.72453007236</v>
      </c>
      <c r="E596" s="173" t="s">
        <v>446</v>
      </c>
      <c r="F596" s="173" t="s">
        <v>447</v>
      </c>
      <c r="G596" s="262" t="s">
        <v>782</v>
      </c>
      <c r="H596" s="173" t="s">
        <v>201</v>
      </c>
      <c r="I596" s="173" t="s">
        <v>284</v>
      </c>
      <c r="J596" s="173" t="s">
        <v>1498</v>
      </c>
      <c r="K596" s="241">
        <v>41333</v>
      </c>
      <c r="L596" s="173" t="s">
        <v>832</v>
      </c>
      <c r="M596" s="262"/>
      <c r="N596" s="256">
        <f>750/19</f>
        <v>39.473684210526315</v>
      </c>
      <c r="O596" s="461">
        <f>CompletedProjects[[#This Row],[Power Plant Size (MW) or Share]]*0.593*9057*211.9*10^(-9)</f>
        <v>4.4923923627631576E-2</v>
      </c>
      <c r="P596" s="337">
        <f>CompletedProjects[[#This Row],[Annual Emissions (MMTCO2)]]*40</f>
        <v>1.7969569451052632</v>
      </c>
      <c r="Q596" s="167"/>
      <c r="R596" s="167" t="s">
        <v>639</v>
      </c>
      <c r="S596" s="167"/>
      <c r="T596" s="167"/>
      <c r="U596" s="2"/>
      <c r="V596" s="2"/>
      <c r="Y596" s="2"/>
    </row>
    <row r="597" spans="1:25" ht="86">
      <c r="A597" s="167" t="s">
        <v>85</v>
      </c>
      <c r="B597" s="171" t="s">
        <v>511</v>
      </c>
      <c r="C597" s="171" t="s">
        <v>464</v>
      </c>
      <c r="D597" s="172">
        <f>45500000*'Dev Bank Share by Country'!$G$78</f>
        <v>560320.67736136762</v>
      </c>
      <c r="E597" s="173" t="s">
        <v>440</v>
      </c>
      <c r="F597" s="173" t="s">
        <v>441</v>
      </c>
      <c r="G597" s="262" t="s">
        <v>771</v>
      </c>
      <c r="H597" s="173" t="s">
        <v>442</v>
      </c>
      <c r="I597" s="173" t="s">
        <v>40</v>
      </c>
      <c r="J597" s="173" t="s">
        <v>443</v>
      </c>
      <c r="K597" s="241">
        <v>41060</v>
      </c>
      <c r="L597" s="173" t="s">
        <v>924</v>
      </c>
      <c r="M597" s="273"/>
      <c r="N597" s="256"/>
      <c r="O597" s="461">
        <f>CompletedProjects[[#This Row],[Power Plant Size (MW) or Share]]*0.593*9057*211.9*10^(-9)</f>
        <v>0</v>
      </c>
      <c r="P597" s="337">
        <f>CompletedProjects[[#This Row],[Annual Emissions (MMTCO2)]]*40</f>
        <v>0</v>
      </c>
      <c r="Q597" s="167"/>
      <c r="R597" s="167" t="s">
        <v>400</v>
      </c>
      <c r="S597" s="167" t="s">
        <v>465</v>
      </c>
      <c r="T597" s="167"/>
      <c r="U597" s="2"/>
      <c r="V597" s="2"/>
      <c r="Y597" s="2"/>
    </row>
    <row r="598" spans="1:25" ht="215">
      <c r="A598" s="167" t="s">
        <v>85</v>
      </c>
      <c r="B598" s="167" t="s">
        <v>401</v>
      </c>
      <c r="C598" s="182" t="s">
        <v>464</v>
      </c>
      <c r="D598" s="172">
        <f>200000000*'Dev Bank Share by Country'!$E$78</f>
        <v>1624396.6982158131</v>
      </c>
      <c r="E598" s="173" t="s">
        <v>461</v>
      </c>
      <c r="F598" s="173" t="s">
        <v>462</v>
      </c>
      <c r="G598" s="262" t="s">
        <v>795</v>
      </c>
      <c r="H598" s="173" t="s">
        <v>442</v>
      </c>
      <c r="I598" s="173" t="s">
        <v>284</v>
      </c>
      <c r="J598" s="173" t="s">
        <v>1498</v>
      </c>
      <c r="K598" s="241">
        <v>41760</v>
      </c>
      <c r="L598" s="173" t="s">
        <v>831</v>
      </c>
      <c r="M598" s="262" t="s">
        <v>830</v>
      </c>
      <c r="N598" s="256"/>
      <c r="O598" s="461">
        <f>CompletedProjects[[#This Row],[Power Plant Size (MW) or Share]]*0.593*9057*211.9*10^(-9)</f>
        <v>0</v>
      </c>
      <c r="P598" s="337">
        <f>CompletedProjects[[#This Row],[Annual Emissions (MMTCO2)]]*40</f>
        <v>0</v>
      </c>
      <c r="Q598" s="167"/>
      <c r="R598" s="167" t="s">
        <v>400</v>
      </c>
      <c r="S598" s="167" t="s">
        <v>465</v>
      </c>
      <c r="T598" s="167"/>
      <c r="U598" s="2"/>
      <c r="V598" s="2"/>
      <c r="Y598" s="2"/>
    </row>
    <row r="599" spans="1:25" ht="71.7">
      <c r="A599" s="173" t="s">
        <v>85</v>
      </c>
      <c r="B599" s="173" t="s">
        <v>519</v>
      </c>
      <c r="C599" s="173" t="s">
        <v>464</v>
      </c>
      <c r="D599" s="172">
        <f>135000000*'Dev Bank Share by Country'!$K$78</f>
        <v>7360200</v>
      </c>
      <c r="E599" s="173" t="s">
        <v>531</v>
      </c>
      <c r="F599" s="173" t="s">
        <v>538</v>
      </c>
      <c r="G599" s="262"/>
      <c r="H599" s="173" t="s">
        <v>239</v>
      </c>
      <c r="I599" s="180" t="s">
        <v>283</v>
      </c>
      <c r="J599" s="173" t="s">
        <v>26</v>
      </c>
      <c r="K599" s="241">
        <v>40217</v>
      </c>
      <c r="L599" s="173" t="s">
        <v>1710</v>
      </c>
      <c r="M599" s="262"/>
      <c r="N599" s="337">
        <f>250/13</f>
        <v>19.23076923076923</v>
      </c>
      <c r="O599" s="461">
        <f>CompletedProjects[[#This Row],[Power Plant Size (MW) or Share]]*0.593*9057*211.9*10^(-9)</f>
        <v>2.1886014075000002E-2</v>
      </c>
      <c r="P599" s="337">
        <f>CompletedProjects[[#This Row],[Annual Emissions (MMTCO2)]]*40</f>
        <v>0.87544056300000006</v>
      </c>
      <c r="Q599" s="176"/>
      <c r="R599" s="178" t="s">
        <v>540</v>
      </c>
      <c r="S599" s="167"/>
      <c r="T599" s="178"/>
      <c r="U599" s="2"/>
      <c r="V599" s="2"/>
      <c r="Y599" s="2"/>
    </row>
    <row r="600" spans="1:25" ht="114.7">
      <c r="A600" s="167" t="s">
        <v>85</v>
      </c>
      <c r="B600" s="167" t="s">
        <v>401</v>
      </c>
      <c r="C600" s="171" t="s">
        <v>464</v>
      </c>
      <c r="D600" s="172">
        <f>280000*'Dev Bank Share by Country'!$E$78</f>
        <v>2274.1553775021384</v>
      </c>
      <c r="E600" s="173" t="s">
        <v>437</v>
      </c>
      <c r="F600" s="173" t="s">
        <v>438</v>
      </c>
      <c r="G600" s="262" t="s">
        <v>790</v>
      </c>
      <c r="H600" s="173" t="s">
        <v>439</v>
      </c>
      <c r="I600" s="173" t="s">
        <v>284</v>
      </c>
      <c r="J600" s="173" t="s">
        <v>1498</v>
      </c>
      <c r="K600" s="241">
        <v>41039</v>
      </c>
      <c r="L600" s="173" t="s">
        <v>897</v>
      </c>
      <c r="M600" s="273" t="s">
        <v>780</v>
      </c>
      <c r="N600" s="256"/>
      <c r="O600" s="461">
        <f>CompletedProjects[[#This Row],[Power Plant Size (MW) or Share]]*0.593*9057*211.9*10^(-9)</f>
        <v>0</v>
      </c>
      <c r="P600" s="337">
        <f>CompletedProjects[[#This Row],[Annual Emissions (MMTCO2)]]*40</f>
        <v>0</v>
      </c>
      <c r="Q600" s="167"/>
      <c r="R600" s="167" t="s">
        <v>400</v>
      </c>
      <c r="S600" s="167" t="s">
        <v>465</v>
      </c>
      <c r="T600" s="167"/>
      <c r="U600" s="2"/>
      <c r="V600" s="2"/>
      <c r="Y600" s="2"/>
    </row>
    <row r="601" spans="1:25" ht="172">
      <c r="A601" s="167" t="s">
        <v>85</v>
      </c>
      <c r="B601" s="167" t="s">
        <v>513</v>
      </c>
      <c r="C601" s="167" t="s">
        <v>464</v>
      </c>
      <c r="D601" s="172">
        <f>57000000*'Dev Bank Share by Country'!$C$78</f>
        <v>575700</v>
      </c>
      <c r="E601" s="173" t="s">
        <v>415</v>
      </c>
      <c r="F601" s="173" t="s">
        <v>416</v>
      </c>
      <c r="G601" s="262" t="s">
        <v>772</v>
      </c>
      <c r="H601" s="173" t="s">
        <v>368</v>
      </c>
      <c r="I601" s="173" t="s">
        <v>40</v>
      </c>
      <c r="J601" s="173" t="s">
        <v>417</v>
      </c>
      <c r="K601" s="241">
        <v>39436</v>
      </c>
      <c r="L601" s="173" t="s">
        <v>918</v>
      </c>
      <c r="M601" s="273" t="s">
        <v>895</v>
      </c>
      <c r="N601" s="256"/>
      <c r="O601" s="461">
        <f>CompletedProjects[[#This Row],[Power Plant Size (MW) or Share]]*0.593*9057*211.9*10^(-9)</f>
        <v>0</v>
      </c>
      <c r="P601" s="337">
        <f>CompletedProjects[[#This Row],[Annual Emissions (MMTCO2)]]*40</f>
        <v>0</v>
      </c>
      <c r="Q601" s="167"/>
      <c r="R601" s="167" t="s">
        <v>400</v>
      </c>
      <c r="S601" s="167" t="s">
        <v>633</v>
      </c>
      <c r="T601" s="167"/>
      <c r="U601" s="2"/>
      <c r="V601" s="2"/>
      <c r="Y601" s="2"/>
    </row>
    <row r="602" spans="1:25" ht="172">
      <c r="A602" s="167" t="s">
        <v>86</v>
      </c>
      <c r="B602" s="167" t="s">
        <v>511</v>
      </c>
      <c r="C602" s="167" t="s">
        <v>464</v>
      </c>
      <c r="D602" s="172">
        <f>500000000*'Dev Bank Share by Country'!$G$83</f>
        <v>15848768.974118469</v>
      </c>
      <c r="E602" s="173" t="s">
        <v>454</v>
      </c>
      <c r="F602" s="173" t="s">
        <v>514</v>
      </c>
      <c r="G602" s="262" t="s">
        <v>783</v>
      </c>
      <c r="H602" s="183" t="s">
        <v>515</v>
      </c>
      <c r="I602" s="180" t="s">
        <v>283</v>
      </c>
      <c r="J602" s="173" t="s">
        <v>26</v>
      </c>
      <c r="K602" s="241">
        <v>41760</v>
      </c>
      <c r="L602" s="173" t="s">
        <v>833</v>
      </c>
      <c r="M602" s="262"/>
      <c r="N602" s="256">
        <f>(270+450)/19</f>
        <v>37.89473684210526</v>
      </c>
      <c r="O602" s="461">
        <f>CompletedProjects[[#This Row],[Power Plant Size (MW) or Share]]*0.593*9057*211.9*10^(-9)</f>
        <v>4.3126966682526316E-2</v>
      </c>
      <c r="P602" s="337">
        <f>CompletedProjects[[#This Row],[Annual Emissions (MMTCO2)]]*40</f>
        <v>1.7250786673010525</v>
      </c>
      <c r="Q602" s="167"/>
      <c r="R602" s="167" t="s">
        <v>639</v>
      </c>
      <c r="S602" s="167" t="s">
        <v>465</v>
      </c>
      <c r="T602" s="167"/>
      <c r="U602" s="2"/>
      <c r="V602" s="2"/>
      <c r="Y602" s="2"/>
    </row>
    <row r="603" spans="1:25" ht="172">
      <c r="A603" s="167" t="s">
        <v>86</v>
      </c>
      <c r="B603" s="167" t="s">
        <v>401</v>
      </c>
      <c r="C603" s="167" t="s">
        <v>464</v>
      </c>
      <c r="D603" s="172">
        <f>1120000*'Dev Bank Share by Country'!$E$83</f>
        <v>25638.581507865627</v>
      </c>
      <c r="E603" s="173" t="s">
        <v>402</v>
      </c>
      <c r="F603" s="173" t="s">
        <v>403</v>
      </c>
      <c r="G603" s="262" t="s">
        <v>785</v>
      </c>
      <c r="H603" s="173" t="s">
        <v>404</v>
      </c>
      <c r="I603" s="173" t="s">
        <v>284</v>
      </c>
      <c r="J603" s="173" t="s">
        <v>1498</v>
      </c>
      <c r="K603" s="241">
        <v>39224</v>
      </c>
      <c r="L603" s="173" t="s">
        <v>826</v>
      </c>
      <c r="M603" s="262" t="s">
        <v>785</v>
      </c>
      <c r="N603" s="256"/>
      <c r="O603" s="461">
        <f>CompletedProjects[[#This Row],[Power Plant Size (MW) or Share]]*0.593*9057*211.9*10^(-9)</f>
        <v>0</v>
      </c>
      <c r="P603" s="337">
        <f>CompletedProjects[[#This Row],[Annual Emissions (MMTCO2)]]*40</f>
        <v>0</v>
      </c>
      <c r="Q603" s="167"/>
      <c r="R603" s="167" t="s">
        <v>400</v>
      </c>
      <c r="S603" s="167" t="s">
        <v>633</v>
      </c>
      <c r="T603" s="167" t="s">
        <v>537</v>
      </c>
      <c r="U603" s="2"/>
      <c r="V603" s="2"/>
      <c r="Y603" s="2"/>
    </row>
    <row r="604" spans="1:25" ht="172">
      <c r="A604" s="167" t="s">
        <v>86</v>
      </c>
      <c r="B604" s="167" t="s">
        <v>512</v>
      </c>
      <c r="C604" s="167" t="s">
        <v>464</v>
      </c>
      <c r="D604" s="172">
        <f>4200000*'Dev Bank Share by Country'!$E$83</f>
        <v>96144.6806544961</v>
      </c>
      <c r="E604" s="173" t="s">
        <v>448</v>
      </c>
      <c r="F604" s="173" t="s">
        <v>449</v>
      </c>
      <c r="G604" s="262" t="s">
        <v>792</v>
      </c>
      <c r="H604" s="173" t="s">
        <v>450</v>
      </c>
      <c r="I604" s="173" t="s">
        <v>40</v>
      </c>
      <c r="J604" s="173" t="s">
        <v>1502</v>
      </c>
      <c r="K604" s="241">
        <v>41404</v>
      </c>
      <c r="L604" s="173" t="s">
        <v>925</v>
      </c>
      <c r="M604" s="262"/>
      <c r="N604" s="256"/>
      <c r="O604" s="461">
        <f>CompletedProjects[[#This Row],[Power Plant Size (MW) or Share]]*0.593*9057*211.9*10^(-9)</f>
        <v>0</v>
      </c>
      <c r="P604" s="337">
        <f>CompletedProjects[[#This Row],[Annual Emissions (MMTCO2)]]*40</f>
        <v>0</v>
      </c>
      <c r="Q604" s="167"/>
      <c r="R604" s="167" t="s">
        <v>400</v>
      </c>
      <c r="S604" s="167" t="s">
        <v>465</v>
      </c>
      <c r="T604" s="167"/>
      <c r="U604" s="2"/>
      <c r="V604" s="2"/>
      <c r="Y604" s="2"/>
    </row>
    <row r="605" spans="1:25" ht="100.35">
      <c r="A605" s="167" t="s">
        <v>86</v>
      </c>
      <c r="B605" s="167" t="s">
        <v>511</v>
      </c>
      <c r="C605" s="167" t="s">
        <v>464</v>
      </c>
      <c r="D605" s="172">
        <f>25000000*'Dev Bank Share by Country'!$G$83</f>
        <v>792438.44870592351</v>
      </c>
      <c r="E605" s="173" t="s">
        <v>398</v>
      </c>
      <c r="F605" s="173" t="s">
        <v>398</v>
      </c>
      <c r="G605" s="262" t="s">
        <v>787</v>
      </c>
      <c r="H605" s="173" t="s">
        <v>399</v>
      </c>
      <c r="I605" s="180" t="s">
        <v>283</v>
      </c>
      <c r="J605" s="173" t="s">
        <v>26</v>
      </c>
      <c r="K605" s="241">
        <v>39204</v>
      </c>
      <c r="L605" s="173" t="s">
        <v>915</v>
      </c>
      <c r="M605" s="262"/>
      <c r="N605" s="256">
        <f>30/20</f>
        <v>1.5</v>
      </c>
      <c r="O605" s="461">
        <f>CompletedProjects[[#This Row],[Power Plant Size (MW) or Share]]*0.593*9057*211.9*10^(-9)</f>
        <v>1.7071090978499999E-3</v>
      </c>
      <c r="P605" s="337">
        <f>CompletedProjects[[#This Row],[Annual Emissions (MMTCO2)]]*40</f>
        <v>6.8284363914000001E-2</v>
      </c>
      <c r="Q605" s="167"/>
      <c r="R605" s="167" t="s">
        <v>635</v>
      </c>
      <c r="S605" s="167" t="s">
        <v>465</v>
      </c>
      <c r="T605" s="167"/>
      <c r="U605" s="2"/>
      <c r="V605" s="2"/>
      <c r="Y605" s="2"/>
    </row>
    <row r="606" spans="1:25" ht="57.35">
      <c r="A606" s="167" t="s">
        <v>86</v>
      </c>
      <c r="B606" s="171" t="s">
        <v>559</v>
      </c>
      <c r="C606" s="171" t="s">
        <v>464</v>
      </c>
      <c r="D606" s="172">
        <v>10383738.360748647</v>
      </c>
      <c r="E606" s="173" t="s">
        <v>592</v>
      </c>
      <c r="F606" s="173" t="s">
        <v>599</v>
      </c>
      <c r="G606" s="262" t="s">
        <v>799</v>
      </c>
      <c r="H606" s="173" t="s">
        <v>201</v>
      </c>
      <c r="I606" s="173" t="s">
        <v>40</v>
      </c>
      <c r="J606" s="173" t="s">
        <v>40</v>
      </c>
      <c r="K606" s="240">
        <v>40310</v>
      </c>
      <c r="L606" s="173" t="s">
        <v>1692</v>
      </c>
      <c r="M606" s="262" t="s">
        <v>908</v>
      </c>
      <c r="N606" s="337"/>
      <c r="O606" s="461">
        <f>CompletedProjects[[#This Row],[Power Plant Size (MW) or Share]]*0.593*9057*211.9*10^(-9)</f>
        <v>0</v>
      </c>
      <c r="P606" s="337">
        <f>CompletedProjects[[#This Row],[Annual Emissions (MMTCO2)]]*40</f>
        <v>0</v>
      </c>
      <c r="Q606" s="176">
        <v>0.3</v>
      </c>
      <c r="R606" s="178"/>
      <c r="S606" s="167"/>
      <c r="T606" s="178"/>
      <c r="U606" s="2"/>
      <c r="V606" s="2"/>
      <c r="Y606" s="2"/>
    </row>
    <row r="607" spans="1:25" ht="114.7">
      <c r="A607" s="167" t="s">
        <v>86</v>
      </c>
      <c r="B607" s="171" t="s">
        <v>559</v>
      </c>
      <c r="C607" s="171" t="s">
        <v>464</v>
      </c>
      <c r="D607" s="172">
        <v>9876155.556977395</v>
      </c>
      <c r="E607" s="173" t="s">
        <v>606</v>
      </c>
      <c r="F607" s="173" t="s">
        <v>607</v>
      </c>
      <c r="G607" s="262" t="s">
        <v>730</v>
      </c>
      <c r="H607" s="173" t="s">
        <v>56</v>
      </c>
      <c r="I607" s="173" t="s">
        <v>40</v>
      </c>
      <c r="J607" s="173" t="s">
        <v>40</v>
      </c>
      <c r="K607" s="240">
        <v>40750</v>
      </c>
      <c r="L607" s="173" t="s">
        <v>1696</v>
      </c>
      <c r="M607" s="262" t="s">
        <v>912</v>
      </c>
      <c r="N607" s="337"/>
      <c r="O607" s="461">
        <f>CompletedProjects[[#This Row],[Power Plant Size (MW) or Share]]*0.593*9057*211.9*10^(-9)</f>
        <v>0</v>
      </c>
      <c r="P607" s="337">
        <f>CompletedProjects[[#This Row],[Annual Emissions (MMTCO2)]]*40</f>
        <v>0</v>
      </c>
      <c r="Q607" s="176"/>
      <c r="R607" s="178"/>
      <c r="S607" s="167"/>
      <c r="T607" s="178"/>
      <c r="U607" s="2"/>
      <c r="V607" s="2"/>
      <c r="Y607" s="2"/>
    </row>
    <row r="608" spans="1:25" ht="71.7">
      <c r="A608" s="167" t="s">
        <v>86</v>
      </c>
      <c r="B608" s="186" t="s">
        <v>519</v>
      </c>
      <c r="C608" s="186" t="s">
        <v>464</v>
      </c>
      <c r="D608" s="172">
        <f>500000*'Dev Bank Share by Country'!$K$83</f>
        <v>9045</v>
      </c>
      <c r="E608" s="173" t="s">
        <v>531</v>
      </c>
      <c r="F608" s="173" t="s">
        <v>532</v>
      </c>
      <c r="G608" s="262"/>
      <c r="H608" s="173" t="s">
        <v>239</v>
      </c>
      <c r="I608" s="180" t="s">
        <v>283</v>
      </c>
      <c r="J608" s="173" t="s">
        <v>26</v>
      </c>
      <c r="K608" s="241">
        <v>40035</v>
      </c>
      <c r="L608" s="173" t="s">
        <v>1710</v>
      </c>
      <c r="M608" s="262"/>
      <c r="N608" s="337">
        <f>600/13</f>
        <v>46.153846153846153</v>
      </c>
      <c r="O608" s="461">
        <f>CompletedProjects[[#This Row],[Power Plant Size (MW) or Share]]*0.593*9057*211.9*10^(-9)</f>
        <v>5.2526433780000006E-2</v>
      </c>
      <c r="P608" s="337">
        <f>CompletedProjects[[#This Row],[Annual Emissions (MMTCO2)]]*40</f>
        <v>2.1010573512000001</v>
      </c>
      <c r="Q608" s="176"/>
      <c r="R608" s="178" t="s">
        <v>524</v>
      </c>
      <c r="S608" s="167"/>
      <c r="T608" s="178"/>
      <c r="U608" s="2"/>
      <c r="V608" s="2"/>
      <c r="Y608" s="2"/>
    </row>
    <row r="609" spans="1:25" ht="100.35">
      <c r="A609" s="167" t="s">
        <v>86</v>
      </c>
      <c r="B609" s="167" t="s">
        <v>511</v>
      </c>
      <c r="C609" s="167" t="s">
        <v>464</v>
      </c>
      <c r="D609" s="172">
        <f>46500000*'Dev Bank Share by Country'!$G$83</f>
        <v>1473935.5145930175</v>
      </c>
      <c r="E609" s="173" t="s">
        <v>423</v>
      </c>
      <c r="F609" s="173" t="s">
        <v>424</v>
      </c>
      <c r="G609" s="262" t="s">
        <v>774</v>
      </c>
      <c r="H609" s="173" t="s">
        <v>65</v>
      </c>
      <c r="I609" s="173" t="s">
        <v>284</v>
      </c>
      <c r="J609" s="173" t="s">
        <v>79</v>
      </c>
      <c r="K609" s="241">
        <v>39898</v>
      </c>
      <c r="L609" s="173" t="s">
        <v>920</v>
      </c>
      <c r="M609" s="273"/>
      <c r="N609" s="256"/>
      <c r="O609" s="461">
        <f>CompletedProjects[[#This Row],[Power Plant Size (MW) or Share]]*0.593*9057*211.9*10^(-9)</f>
        <v>0</v>
      </c>
      <c r="P609" s="337">
        <f>CompletedProjects[[#This Row],[Annual Emissions (MMTCO2)]]*40</f>
        <v>0</v>
      </c>
      <c r="Q609" s="167"/>
      <c r="R609" s="167" t="s">
        <v>400</v>
      </c>
      <c r="S609" s="167" t="s">
        <v>465</v>
      </c>
      <c r="T609" s="167"/>
      <c r="U609" s="2"/>
      <c r="V609" s="2"/>
      <c r="Y609" s="2"/>
    </row>
    <row r="610" spans="1:25" ht="272.35000000000002">
      <c r="A610" s="167" t="s">
        <v>86</v>
      </c>
      <c r="B610" s="167" t="s">
        <v>513</v>
      </c>
      <c r="C610" s="167" t="s">
        <v>464</v>
      </c>
      <c r="D610" s="172">
        <f>29600000*'Dev Bank Share by Country'!$C$83</f>
        <v>769600</v>
      </c>
      <c r="E610" s="173" t="s">
        <v>266</v>
      </c>
      <c r="F610" s="173" t="s">
        <v>444</v>
      </c>
      <c r="G610" s="262" t="s">
        <v>781</v>
      </c>
      <c r="H610" s="173" t="s">
        <v>85</v>
      </c>
      <c r="I610" s="173" t="s">
        <v>284</v>
      </c>
      <c r="J610" s="173" t="s">
        <v>1498</v>
      </c>
      <c r="K610" s="241">
        <v>41163</v>
      </c>
      <c r="L610" s="173" t="s">
        <v>825</v>
      </c>
      <c r="M610" s="262"/>
      <c r="N610" s="256"/>
      <c r="O610" s="461">
        <f>CompletedProjects[[#This Row],[Power Plant Size (MW) or Share]]*0.593*9057*211.9*10^(-9)</f>
        <v>0</v>
      </c>
      <c r="P610" s="337">
        <f>CompletedProjects[[#This Row],[Annual Emissions (MMTCO2)]]*40</f>
        <v>0</v>
      </c>
      <c r="Q610" s="167"/>
      <c r="R610" s="167" t="s">
        <v>400</v>
      </c>
      <c r="S610" s="167" t="s">
        <v>465</v>
      </c>
      <c r="T610" s="167"/>
      <c r="U610" s="2"/>
      <c r="V610" s="2"/>
      <c r="Y610" s="2"/>
    </row>
    <row r="611" spans="1:25" ht="43">
      <c r="A611" s="167" t="s">
        <v>86</v>
      </c>
      <c r="B611" s="182" t="s">
        <v>559</v>
      </c>
      <c r="C611" s="182" t="s">
        <v>464</v>
      </c>
      <c r="D611" s="172">
        <v>1452552.1616394678</v>
      </c>
      <c r="E611" s="173" t="s">
        <v>598</v>
      </c>
      <c r="F611" s="173" t="s">
        <v>598</v>
      </c>
      <c r="G611" s="262" t="s">
        <v>798</v>
      </c>
      <c r="H611" s="173" t="s">
        <v>201</v>
      </c>
      <c r="I611" s="173" t="s">
        <v>40</v>
      </c>
      <c r="J611" s="173" t="s">
        <v>40</v>
      </c>
      <c r="K611" s="240">
        <v>40199</v>
      </c>
      <c r="L611" s="269" t="s">
        <v>1691</v>
      </c>
      <c r="M611" s="262"/>
      <c r="N611" s="337"/>
      <c r="O611" s="461">
        <f>CompletedProjects[[#This Row],[Power Plant Size (MW) or Share]]*0.593*9057*211.9*10^(-9)</f>
        <v>0</v>
      </c>
      <c r="P611" s="337">
        <f>CompletedProjects[[#This Row],[Annual Emissions (MMTCO2)]]*40</f>
        <v>0</v>
      </c>
      <c r="Q611" s="176"/>
      <c r="R611" s="178"/>
      <c r="S611" s="167"/>
      <c r="T611" s="178"/>
      <c r="U611" s="2"/>
      <c r="V611" s="2"/>
      <c r="Y611" s="2"/>
    </row>
    <row r="612" spans="1:25" ht="43">
      <c r="A612" s="167" t="s">
        <v>86</v>
      </c>
      <c r="B612" s="167" t="s">
        <v>511</v>
      </c>
      <c r="C612" s="167" t="s">
        <v>464</v>
      </c>
      <c r="D612" s="172">
        <f>740000000*'Dev Bank Share by Country'!$G$83</f>
        <v>23456178.081695333</v>
      </c>
      <c r="E612" s="173" t="s">
        <v>418</v>
      </c>
      <c r="F612" s="173" t="s">
        <v>419</v>
      </c>
      <c r="G612" s="262" t="s">
        <v>765</v>
      </c>
      <c r="H612" s="173" t="s">
        <v>144</v>
      </c>
      <c r="I612" s="180" t="s">
        <v>283</v>
      </c>
      <c r="J612" s="173" t="s">
        <v>26</v>
      </c>
      <c r="K612" s="241">
        <v>39520</v>
      </c>
      <c r="L612" s="202" t="s">
        <v>817</v>
      </c>
      <c r="M612" s="451"/>
      <c r="N612" s="256">
        <f>330/19</f>
        <v>17.368421052631579</v>
      </c>
      <c r="O612" s="461">
        <f>CompletedProjects[[#This Row],[Power Plant Size (MW) or Share]]*0.593*9057*211.9*10^(-9)</f>
        <v>1.9766526396157894E-2</v>
      </c>
      <c r="P612" s="337">
        <f>CompletedProjects[[#This Row],[Annual Emissions (MMTCO2)]]*40</f>
        <v>0.79066105584631574</v>
      </c>
      <c r="Q612" s="167"/>
      <c r="R612" s="167" t="s">
        <v>400</v>
      </c>
      <c r="S612" s="167" t="s">
        <v>633</v>
      </c>
      <c r="T612" s="167"/>
      <c r="U612" s="2"/>
      <c r="V612" s="2"/>
      <c r="Y612" s="2"/>
    </row>
    <row r="613" spans="1:25" ht="43">
      <c r="A613" s="167" t="s">
        <v>86</v>
      </c>
      <c r="B613" s="167" t="s">
        <v>477</v>
      </c>
      <c r="C613" s="167" t="s">
        <v>464</v>
      </c>
      <c r="D613" s="172">
        <f>505000000*0.161</f>
        <v>81305000</v>
      </c>
      <c r="E613" s="173" t="s">
        <v>482</v>
      </c>
      <c r="F613" s="173" t="s">
        <v>483</v>
      </c>
      <c r="G613" s="262" t="s">
        <v>935</v>
      </c>
      <c r="H613" s="173" t="s">
        <v>75</v>
      </c>
      <c r="I613" s="180" t="s">
        <v>283</v>
      </c>
      <c r="J613" s="173" t="s">
        <v>26</v>
      </c>
      <c r="K613" s="241">
        <v>39391</v>
      </c>
      <c r="L613" s="173" t="s">
        <v>1668</v>
      </c>
      <c r="M613" s="262"/>
      <c r="N613" s="150">
        <f>750/4</f>
        <v>187.5</v>
      </c>
      <c r="O613" s="461">
        <f>CompletedProjects[[#This Row],[Power Plant Size (MW) or Share]]*0.593*9057*211.9*10^(-9)</f>
        <v>0.21338863723125004</v>
      </c>
      <c r="P613" s="337">
        <f>CompletedProjects[[#This Row],[Annual Emissions (MMTCO2)]]*40</f>
        <v>8.5355454892500013</v>
      </c>
      <c r="Q613" s="203"/>
      <c r="R613" s="167" t="s">
        <v>484</v>
      </c>
      <c r="S613" s="167"/>
      <c r="T613" s="167"/>
      <c r="U613" s="2"/>
      <c r="V613" s="2"/>
      <c r="Y613" s="2"/>
    </row>
    <row r="614" spans="1:25" ht="200.7">
      <c r="A614" s="167" t="s">
        <v>86</v>
      </c>
      <c r="B614" s="167" t="s">
        <v>513</v>
      </c>
      <c r="C614" s="167" t="s">
        <v>464</v>
      </c>
      <c r="D614" s="172">
        <f>180000000*'Dev Bank Share by Country'!$C$83</f>
        <v>4680000</v>
      </c>
      <c r="E614" s="173" t="s">
        <v>425</v>
      </c>
      <c r="F614" s="173" t="s">
        <v>426</v>
      </c>
      <c r="G614" s="262" t="s">
        <v>770</v>
      </c>
      <c r="H614" s="173" t="s">
        <v>65</v>
      </c>
      <c r="I614" s="180" t="s">
        <v>283</v>
      </c>
      <c r="J614" s="173" t="s">
        <v>277</v>
      </c>
      <c r="K614" s="241">
        <v>39982</v>
      </c>
      <c r="L614" s="197"/>
      <c r="M614" s="273"/>
      <c r="N614" s="256">
        <f>420/19</f>
        <v>22.105263157894736</v>
      </c>
      <c r="O614" s="461">
        <f>CompletedProjects[[#This Row],[Power Plant Size (MW) or Share]]*0.593*9057*211.9*10^(-9)</f>
        <v>2.5157397231473682E-2</v>
      </c>
      <c r="P614" s="337">
        <f>CompletedProjects[[#This Row],[Annual Emissions (MMTCO2)]]*40</f>
        <v>1.0062958892589473</v>
      </c>
      <c r="Q614" s="167"/>
      <c r="R614" s="173" t="s">
        <v>921</v>
      </c>
      <c r="S614" s="167" t="s">
        <v>466</v>
      </c>
      <c r="T614" s="173"/>
      <c r="U614" s="2"/>
      <c r="V614" s="2"/>
      <c r="Y614" s="2"/>
    </row>
    <row r="615" spans="1:25" ht="57.35">
      <c r="A615" s="167" t="s">
        <v>86</v>
      </c>
      <c r="B615" s="167" t="s">
        <v>477</v>
      </c>
      <c r="C615" s="167" t="s">
        <v>464</v>
      </c>
      <c r="D615" s="172">
        <v>21161761.82052232</v>
      </c>
      <c r="E615" s="173" t="s">
        <v>517</v>
      </c>
      <c r="F615" s="173" t="s">
        <v>478</v>
      </c>
      <c r="G615" s="262" t="s">
        <v>932</v>
      </c>
      <c r="H615" s="173" t="s">
        <v>86</v>
      </c>
      <c r="I615" s="180" t="s">
        <v>244</v>
      </c>
      <c r="J615" s="173" t="s">
        <v>589</v>
      </c>
      <c r="K615" s="241">
        <v>39259</v>
      </c>
      <c r="L615" s="173"/>
      <c r="M615" s="262"/>
      <c r="N615" s="150">
        <f>3930/4</f>
        <v>982.5</v>
      </c>
      <c r="O615" s="461">
        <f>CompletedProjects[[#This Row],[Power Plant Size (MW) or Share]]*0.593*9057*211.9*10^(-9)</f>
        <v>1.1181564590917499</v>
      </c>
      <c r="P615" s="337">
        <f>CompletedProjects[[#This Row],[Annual Emissions (MMTCO2)]]*40</f>
        <v>44.726258363669999</v>
      </c>
      <c r="Q615" s="203"/>
      <c r="R615" s="167" t="s">
        <v>479</v>
      </c>
      <c r="S615" s="167"/>
      <c r="T615" s="167"/>
      <c r="U615" s="2"/>
      <c r="V615" s="2"/>
      <c r="Y615" s="2"/>
    </row>
    <row r="616" spans="1:25" ht="71.7">
      <c r="A616" s="167" t="s">
        <v>86</v>
      </c>
      <c r="B616" s="186" t="s">
        <v>519</v>
      </c>
      <c r="C616" s="186" t="s">
        <v>464</v>
      </c>
      <c r="D616" s="172">
        <f>350000*'Dev Bank Share by Country'!$K$83</f>
        <v>6331.4999999999991</v>
      </c>
      <c r="E616" s="173" t="s">
        <v>542</v>
      </c>
      <c r="F616" s="173" t="s">
        <v>543</v>
      </c>
      <c r="G616" s="262"/>
      <c r="H616" s="173" t="s">
        <v>201</v>
      </c>
      <c r="I616" s="173" t="s">
        <v>40</v>
      </c>
      <c r="J616" s="173" t="s">
        <v>40</v>
      </c>
      <c r="K616" s="241">
        <v>41977</v>
      </c>
      <c r="L616" s="173" t="s">
        <v>1713</v>
      </c>
      <c r="M616" s="262" t="s">
        <v>805</v>
      </c>
      <c r="N616" s="102"/>
      <c r="O616" s="461">
        <f>CompletedProjects[[#This Row],[Power Plant Size (MW) or Share]]*0.593*9057*211.9*10^(-9)</f>
        <v>0</v>
      </c>
      <c r="P616" s="337">
        <f>CompletedProjects[[#This Row],[Annual Emissions (MMTCO2)]]*40</f>
        <v>0</v>
      </c>
      <c r="Q616" s="173"/>
      <c r="R616" s="178"/>
      <c r="S616" s="167"/>
      <c r="T616" s="178"/>
      <c r="U616" s="2"/>
      <c r="V616" s="2"/>
      <c r="Y616" s="2"/>
    </row>
    <row r="617" spans="1:25" ht="28.7">
      <c r="A617" s="167" t="s">
        <v>86</v>
      </c>
      <c r="B617" s="167" t="s">
        <v>477</v>
      </c>
      <c r="C617" s="194" t="s">
        <v>464</v>
      </c>
      <c r="D617" s="172">
        <f>65000000*0.161</f>
        <v>10465000</v>
      </c>
      <c r="E617" s="173" t="s">
        <v>491</v>
      </c>
      <c r="F617" s="173" t="s">
        <v>492</v>
      </c>
      <c r="G617" s="262" t="s">
        <v>939</v>
      </c>
      <c r="H617" s="173" t="s">
        <v>493</v>
      </c>
      <c r="I617" s="180" t="s">
        <v>283</v>
      </c>
      <c r="J617" s="173" t="s">
        <v>26</v>
      </c>
      <c r="K617" s="241">
        <v>39959</v>
      </c>
      <c r="L617" s="173" t="s">
        <v>1669</v>
      </c>
      <c r="M617" s="262" t="s">
        <v>940</v>
      </c>
      <c r="N617" s="256">
        <f>(64+120)/4</f>
        <v>46</v>
      </c>
      <c r="O617" s="461">
        <f>CompletedProjects[[#This Row],[Power Plant Size (MW) or Share]]*0.593*9057*211.9*10^(-9)</f>
        <v>5.2351345667400004E-2</v>
      </c>
      <c r="P617" s="337">
        <f>CompletedProjects[[#This Row],[Annual Emissions (MMTCO2)]]*40</f>
        <v>2.0940538266960003</v>
      </c>
      <c r="Q617" s="204"/>
      <c r="R617" s="167" t="s">
        <v>494</v>
      </c>
      <c r="S617" s="167"/>
      <c r="T617" s="167"/>
      <c r="U617" s="2"/>
      <c r="V617" s="2"/>
      <c r="Y617" s="2"/>
    </row>
    <row r="618" spans="1:25" ht="43">
      <c r="A618" s="218" t="s">
        <v>86</v>
      </c>
      <c r="B618" s="218" t="s">
        <v>559</v>
      </c>
      <c r="C618" s="218" t="s">
        <v>464</v>
      </c>
      <c r="D618" s="172">
        <v>4797025.7225509658</v>
      </c>
      <c r="E618" s="173" t="s">
        <v>602</v>
      </c>
      <c r="F618" s="173" t="s">
        <v>603</v>
      </c>
      <c r="G618" s="262" t="s">
        <v>801</v>
      </c>
      <c r="H618" s="173" t="s">
        <v>39</v>
      </c>
      <c r="I618" s="180" t="s">
        <v>283</v>
      </c>
      <c r="J618" s="173" t="s">
        <v>277</v>
      </c>
      <c r="K618" s="240">
        <v>40561</v>
      </c>
      <c r="L618" s="173" t="s">
        <v>910</v>
      </c>
      <c r="M618" s="262"/>
      <c r="N618" s="337">
        <f>60/12</f>
        <v>5</v>
      </c>
      <c r="O618" s="461">
        <f>CompletedProjects[[#This Row],[Power Plant Size (MW) or Share]]*0.593*9057*211.9*10^(-9)</f>
        <v>5.6903636594999992E-3</v>
      </c>
      <c r="P618" s="337">
        <f>CompletedProjects[[#This Row],[Annual Emissions (MMTCO2)]]*40</f>
        <v>0.22761454637999998</v>
      </c>
      <c r="Q618" s="176"/>
      <c r="R618" s="178" t="s">
        <v>537</v>
      </c>
      <c r="S618" s="167"/>
      <c r="T618" s="178"/>
      <c r="U618" s="2"/>
      <c r="V618" s="2"/>
      <c r="Y618" s="2"/>
    </row>
    <row r="619" spans="1:25" ht="57.35">
      <c r="A619" s="181" t="s">
        <v>86</v>
      </c>
      <c r="B619" s="182" t="s">
        <v>559</v>
      </c>
      <c r="C619" s="182" t="s">
        <v>464</v>
      </c>
      <c r="D619" s="172">
        <v>6469618.9163542967</v>
      </c>
      <c r="E619" s="173" t="s">
        <v>610</v>
      </c>
      <c r="F619" s="173" t="s">
        <v>610</v>
      </c>
      <c r="G619" s="262" t="s">
        <v>1604</v>
      </c>
      <c r="H619" s="173" t="s">
        <v>368</v>
      </c>
      <c r="I619" s="173" t="s">
        <v>40</v>
      </c>
      <c r="J619" s="173" t="s">
        <v>40</v>
      </c>
      <c r="K619" s="240">
        <v>41264</v>
      </c>
      <c r="L619" s="173" t="s">
        <v>1695</v>
      </c>
      <c r="M619" s="262"/>
      <c r="N619" s="337"/>
      <c r="O619" s="461">
        <f>CompletedProjects[[#This Row],[Power Plant Size (MW) or Share]]*0.593*9057*211.9*10^(-9)</f>
        <v>0</v>
      </c>
      <c r="P619" s="337">
        <f>CompletedProjects[[#This Row],[Annual Emissions (MMTCO2)]]*40</f>
        <v>0</v>
      </c>
      <c r="Q619" s="176"/>
      <c r="R619" s="178"/>
      <c r="S619" s="167"/>
      <c r="T619" s="178"/>
      <c r="U619" s="2"/>
      <c r="V619" s="2"/>
      <c r="Y619" s="2"/>
    </row>
    <row r="620" spans="1:25" ht="258">
      <c r="A620" s="167" t="s">
        <v>86</v>
      </c>
      <c r="B620" s="167" t="s">
        <v>512</v>
      </c>
      <c r="C620" s="167" t="s">
        <v>464</v>
      </c>
      <c r="D620" s="172">
        <f>11000000*'Dev Bank Share by Country'!$E$83</f>
        <v>251807.49695225171</v>
      </c>
      <c r="E620" s="173" t="s">
        <v>420</v>
      </c>
      <c r="F620" s="173" t="s">
        <v>421</v>
      </c>
      <c r="G620" s="262" t="s">
        <v>769</v>
      </c>
      <c r="H620" s="173" t="s">
        <v>422</v>
      </c>
      <c r="I620" s="180" t="s">
        <v>283</v>
      </c>
      <c r="J620" s="173" t="s">
        <v>277</v>
      </c>
      <c r="K620" s="241">
        <v>39777</v>
      </c>
      <c r="L620" s="197"/>
      <c r="M620" s="273"/>
      <c r="N620" s="256"/>
      <c r="O620" s="461">
        <f>CompletedProjects[[#This Row],[Power Plant Size (MW) or Share]]*0.593*9057*211.9*10^(-9)</f>
        <v>0</v>
      </c>
      <c r="P620" s="337">
        <f>CompletedProjects[[#This Row],[Annual Emissions (MMTCO2)]]*40</f>
        <v>0</v>
      </c>
      <c r="Q620" s="167"/>
      <c r="R620" s="173" t="s">
        <v>834</v>
      </c>
      <c r="S620" s="167" t="s">
        <v>633</v>
      </c>
      <c r="T620" s="173"/>
      <c r="U620" s="2"/>
      <c r="V620" s="2"/>
      <c r="Y620" s="2"/>
    </row>
    <row r="621" spans="1:25" ht="57.35">
      <c r="A621" s="167" t="s">
        <v>86</v>
      </c>
      <c r="B621" s="167" t="s">
        <v>477</v>
      </c>
      <c r="C621" s="194" t="s">
        <v>464</v>
      </c>
      <c r="D621" s="172">
        <v>6858157.5609657103</v>
      </c>
      <c r="E621" s="173" t="s">
        <v>504</v>
      </c>
      <c r="F621" s="173" t="s">
        <v>505</v>
      </c>
      <c r="G621" s="262" t="s">
        <v>945</v>
      </c>
      <c r="H621" s="173" t="s">
        <v>506</v>
      </c>
      <c r="I621" s="180" t="s">
        <v>244</v>
      </c>
      <c r="J621" s="173" t="s">
        <v>589</v>
      </c>
      <c r="K621" s="241">
        <v>40893</v>
      </c>
      <c r="L621" s="173"/>
      <c r="M621" s="262" t="s">
        <v>946</v>
      </c>
      <c r="N621" s="256">
        <f>(150+115)/4</f>
        <v>66.25</v>
      </c>
      <c r="O621" s="461">
        <f>CompletedProjects[[#This Row],[Power Plant Size (MW) or Share]]*0.593*9057*211.9*10^(-9)</f>
        <v>7.5397318488374998E-2</v>
      </c>
      <c r="P621" s="337">
        <f>CompletedProjects[[#This Row],[Annual Emissions (MMTCO2)]]*40</f>
        <v>3.0158927395349999</v>
      </c>
      <c r="Q621" s="203"/>
      <c r="R621" s="167" t="s">
        <v>507</v>
      </c>
      <c r="S621" s="167"/>
      <c r="T621" s="167"/>
      <c r="U621" s="2"/>
      <c r="V621" s="2"/>
      <c r="Y621" s="2"/>
    </row>
    <row r="622" spans="1:25" ht="28.7">
      <c r="A622" s="167" t="s">
        <v>86</v>
      </c>
      <c r="B622" s="167" t="s">
        <v>477</v>
      </c>
      <c r="C622" s="167" t="s">
        <v>464</v>
      </c>
      <c r="D622" s="172">
        <v>118169452.15940833</v>
      </c>
      <c r="E622" s="173" t="s">
        <v>488</v>
      </c>
      <c r="F622" s="173" t="s">
        <v>489</v>
      </c>
      <c r="G622" s="262" t="s">
        <v>937</v>
      </c>
      <c r="H622" s="173" t="s">
        <v>75</v>
      </c>
      <c r="I622" s="180" t="s">
        <v>283</v>
      </c>
      <c r="J622" s="173" t="s">
        <v>26</v>
      </c>
      <c r="K622" s="241">
        <v>39472</v>
      </c>
      <c r="L622" s="173"/>
      <c r="M622" s="262" t="s">
        <v>938</v>
      </c>
      <c r="N622" s="150">
        <f>(800+220)/4</f>
        <v>255</v>
      </c>
      <c r="O622" s="461">
        <f>CompletedProjects[[#This Row],[Power Plant Size (MW) or Share]]*0.593*9057*211.9*10^(-9)</f>
        <v>0.29020854663450002</v>
      </c>
      <c r="P622" s="337">
        <f>CompletedProjects[[#This Row],[Annual Emissions (MMTCO2)]]*40</f>
        <v>11.608341865380002</v>
      </c>
      <c r="Q622" s="203"/>
      <c r="R622" s="167" t="s">
        <v>490</v>
      </c>
      <c r="S622" s="167"/>
      <c r="T622" s="167"/>
      <c r="U622" s="2"/>
      <c r="V622" s="2"/>
      <c r="Y622" s="2"/>
    </row>
    <row r="623" spans="1:25" ht="272.35000000000002">
      <c r="A623" s="167" t="s">
        <v>86</v>
      </c>
      <c r="B623" s="167" t="s">
        <v>513</v>
      </c>
      <c r="C623" s="167" t="s">
        <v>464</v>
      </c>
      <c r="D623" s="172">
        <f>1000000000*'Dev Bank Share by Country'!$C$83</f>
        <v>26000000</v>
      </c>
      <c r="E623" s="173" t="s">
        <v>425</v>
      </c>
      <c r="F623" s="173" t="s">
        <v>427</v>
      </c>
      <c r="G623" s="264" t="s">
        <v>778</v>
      </c>
      <c r="H623" s="173" t="s">
        <v>65</v>
      </c>
      <c r="I623" s="173" t="s">
        <v>1507</v>
      </c>
      <c r="J623" s="173" t="s">
        <v>428</v>
      </c>
      <c r="K623" s="241">
        <v>40078</v>
      </c>
      <c r="L623" s="197"/>
      <c r="M623" s="262"/>
      <c r="N623" s="256"/>
      <c r="O623" s="461">
        <f>CompletedProjects[[#This Row],[Power Plant Size (MW) or Share]]*0.593*9057*211.9*10^(-9)</f>
        <v>0</v>
      </c>
      <c r="P623" s="337">
        <f>CompletedProjects[[#This Row],[Annual Emissions (MMTCO2)]]*40</f>
        <v>0</v>
      </c>
      <c r="Q623" s="167"/>
      <c r="R623" s="173" t="s">
        <v>824</v>
      </c>
      <c r="S623" s="167" t="s">
        <v>465</v>
      </c>
      <c r="T623" s="173"/>
      <c r="U623" s="2"/>
      <c r="V623" s="2"/>
      <c r="Y623" s="2"/>
    </row>
    <row r="624" spans="1:25" ht="71.7">
      <c r="A624" s="167" t="s">
        <v>86</v>
      </c>
      <c r="B624" s="186" t="s">
        <v>519</v>
      </c>
      <c r="C624" s="186" t="s">
        <v>464</v>
      </c>
      <c r="D624" s="172">
        <f>900525000*'Dev Bank Share by Country'!$K$83</f>
        <v>16290497.249999998</v>
      </c>
      <c r="E624" s="173" t="s">
        <v>510</v>
      </c>
      <c r="F624" s="173" t="s">
        <v>541</v>
      </c>
      <c r="G624" s="262"/>
      <c r="H624" s="173" t="s">
        <v>442</v>
      </c>
      <c r="I624" s="180" t="s">
        <v>283</v>
      </c>
      <c r="J624" s="173" t="s">
        <v>26</v>
      </c>
      <c r="K624" s="241">
        <v>41617</v>
      </c>
      <c r="L624" s="178" t="s">
        <v>1712</v>
      </c>
      <c r="M624" s="262" t="s">
        <v>902</v>
      </c>
      <c r="N624" s="337">
        <f>600/13</f>
        <v>46.153846153846153</v>
      </c>
      <c r="O624" s="461">
        <f>CompletedProjects[[#This Row],[Power Plant Size (MW) or Share]]*0.593*9057*211.9*10^(-9)</f>
        <v>5.2526433780000006E-2</v>
      </c>
      <c r="P624" s="337">
        <f>CompletedProjects[[#This Row],[Annual Emissions (MMTCO2)]]*40</f>
        <v>2.1010573512000001</v>
      </c>
      <c r="Q624" s="176"/>
      <c r="R624" s="178" t="s">
        <v>524</v>
      </c>
      <c r="S624" s="167"/>
      <c r="T624" s="178"/>
      <c r="U624" s="2"/>
      <c r="V624" s="2"/>
      <c r="Y624" s="2"/>
    </row>
    <row r="625" spans="1:25" ht="157.69999999999999">
      <c r="A625" s="167" t="s">
        <v>86</v>
      </c>
      <c r="B625" s="167" t="s">
        <v>512</v>
      </c>
      <c r="C625" s="167" t="s">
        <v>464</v>
      </c>
      <c r="D625" s="172">
        <f>2000000*'Dev Bank Share by Country'!$E$83</f>
        <v>45783.181264045765</v>
      </c>
      <c r="E625" s="173" t="s">
        <v>410</v>
      </c>
      <c r="F625" s="173" t="s">
        <v>411</v>
      </c>
      <c r="G625" s="262" t="s">
        <v>777</v>
      </c>
      <c r="H625" s="173" t="s">
        <v>412</v>
      </c>
      <c r="I625" s="173" t="s">
        <v>284</v>
      </c>
      <c r="J625" s="173" t="s">
        <v>1498</v>
      </c>
      <c r="K625" s="241">
        <v>39261</v>
      </c>
      <c r="L625" s="173" t="s">
        <v>916</v>
      </c>
      <c r="M625" s="262"/>
      <c r="N625" s="256"/>
      <c r="O625" s="461">
        <f>CompletedProjects[[#This Row],[Power Plant Size (MW) or Share]]*0.593*9057*211.9*10^(-9)</f>
        <v>0</v>
      </c>
      <c r="P625" s="337">
        <f>CompletedProjects[[#This Row],[Annual Emissions (MMTCO2)]]*40</f>
        <v>0</v>
      </c>
      <c r="Q625" s="167"/>
      <c r="R625" s="167" t="s">
        <v>400</v>
      </c>
      <c r="S625" s="167" t="s">
        <v>633</v>
      </c>
      <c r="T625" s="167"/>
      <c r="U625" s="2"/>
      <c r="V625" s="2"/>
      <c r="Y625" s="2"/>
    </row>
    <row r="626" spans="1:25" ht="28.7">
      <c r="A626" s="181" t="s">
        <v>86</v>
      </c>
      <c r="B626" s="182" t="s">
        <v>519</v>
      </c>
      <c r="C626" s="182" t="s">
        <v>464</v>
      </c>
      <c r="D626" s="172">
        <f>70500000*'Dev Bank Share by Country'!$K$83</f>
        <v>1275345</v>
      </c>
      <c r="E626" s="183" t="s">
        <v>1400</v>
      </c>
      <c r="F626" s="183" t="s">
        <v>1399</v>
      </c>
      <c r="G626" s="267" t="s">
        <v>1401</v>
      </c>
      <c r="H626" s="183" t="s">
        <v>273</v>
      </c>
      <c r="I626" s="180" t="s">
        <v>283</v>
      </c>
      <c r="J626" s="183" t="s">
        <v>26</v>
      </c>
      <c r="K626" s="242">
        <v>40813</v>
      </c>
      <c r="L626" s="183" t="s">
        <v>1711</v>
      </c>
      <c r="M626" s="267"/>
      <c r="N626" s="338"/>
      <c r="O626" s="461">
        <f>CompletedProjects[[#This Row],[Power Plant Size (MW) or Share]]*0.593*9057*211.9*10^(-9)</f>
        <v>0</v>
      </c>
      <c r="P626" s="337">
        <f>CompletedProjects[[#This Row],[Annual Emissions (MMTCO2)]]*40</f>
        <v>0</v>
      </c>
      <c r="Q626" s="169"/>
      <c r="R626" s="185"/>
      <c r="S626" s="181"/>
      <c r="T626" s="185"/>
      <c r="U626" s="2"/>
      <c r="V626" s="2"/>
      <c r="Y626" s="2"/>
    </row>
    <row r="627" spans="1:25" ht="57.35">
      <c r="A627" s="167" t="s">
        <v>86</v>
      </c>
      <c r="B627" s="167" t="s">
        <v>519</v>
      </c>
      <c r="C627" s="194" t="s">
        <v>464</v>
      </c>
      <c r="D627" s="172">
        <f>200000000*'Dev Bank Share by Country'!$K$83</f>
        <v>3617999.9999999995</v>
      </c>
      <c r="E627" s="173" t="s">
        <v>413</v>
      </c>
      <c r="F627" s="173" t="s">
        <v>523</v>
      </c>
      <c r="G627" s="262"/>
      <c r="H627" s="173" t="s">
        <v>95</v>
      </c>
      <c r="I627" s="180" t="s">
        <v>283</v>
      </c>
      <c r="J627" s="173" t="s">
        <v>277</v>
      </c>
      <c r="K627" s="241">
        <v>39554</v>
      </c>
      <c r="L627" s="167" t="s">
        <v>1319</v>
      </c>
      <c r="M627" s="262"/>
      <c r="N627" s="256">
        <f>600/13/2</f>
        <v>23.076923076923077</v>
      </c>
      <c r="O627" s="461">
        <f>CompletedProjects[[#This Row],[Power Plant Size (MW) or Share]]*0.593*9057*211.9*10^(-9)</f>
        <v>2.6263216890000003E-2</v>
      </c>
      <c r="P627" s="337">
        <f>CompletedProjects[[#This Row],[Annual Emissions (MMTCO2)]]*40</f>
        <v>1.0505286756000001</v>
      </c>
      <c r="Q627" s="203"/>
      <c r="R627" s="167" t="s">
        <v>641</v>
      </c>
      <c r="S627" s="167"/>
      <c r="T627" s="167"/>
      <c r="U627" s="2"/>
      <c r="V627" s="2"/>
      <c r="Y627" s="2"/>
    </row>
    <row r="628" spans="1:25" ht="43">
      <c r="A628" s="167" t="s">
        <v>86</v>
      </c>
      <c r="B628" s="167" t="s">
        <v>519</v>
      </c>
      <c r="C628" s="194" t="s">
        <v>464</v>
      </c>
      <c r="D628" s="172">
        <f>27860000*'Dev Bank Share by Country'!$K$83</f>
        <v>503987.39999999997</v>
      </c>
      <c r="E628" s="173" t="s">
        <v>520</v>
      </c>
      <c r="F628" s="173" t="s">
        <v>521</v>
      </c>
      <c r="G628" s="262"/>
      <c r="H628" s="173" t="s">
        <v>63</v>
      </c>
      <c r="I628" s="180" t="s">
        <v>283</v>
      </c>
      <c r="J628" s="173" t="s">
        <v>26</v>
      </c>
      <c r="K628" s="241">
        <v>39357</v>
      </c>
      <c r="L628" s="167" t="s">
        <v>1320</v>
      </c>
      <c r="M628" s="262"/>
      <c r="N628" s="256">
        <f>1080/13</f>
        <v>83.07692307692308</v>
      </c>
      <c r="O628" s="461">
        <f>CompletedProjects[[#This Row],[Power Plant Size (MW) or Share]]*0.593*9057*211.9*10^(-9)</f>
        <v>9.4547580804000012E-2</v>
      </c>
      <c r="P628" s="337">
        <f>CompletedProjects[[#This Row],[Annual Emissions (MMTCO2)]]*40</f>
        <v>3.7819032321600003</v>
      </c>
      <c r="Q628" s="203"/>
      <c r="R628" s="167" t="s">
        <v>522</v>
      </c>
      <c r="S628" s="167"/>
      <c r="T628" s="167"/>
      <c r="U628" s="2"/>
      <c r="V628" s="2"/>
      <c r="Y628" s="2"/>
    </row>
    <row r="629" spans="1:25" ht="114.7">
      <c r="A629" s="167" t="s">
        <v>86</v>
      </c>
      <c r="B629" s="171" t="s">
        <v>559</v>
      </c>
      <c r="C629" s="171" t="s">
        <v>464</v>
      </c>
      <c r="D629" s="172">
        <v>18425663.35256977</v>
      </c>
      <c r="E629" s="173" t="s">
        <v>560</v>
      </c>
      <c r="F629" s="173" t="s">
        <v>561</v>
      </c>
      <c r="G629" s="262" t="s">
        <v>790</v>
      </c>
      <c r="H629" s="173" t="s">
        <v>56</v>
      </c>
      <c r="I629" s="173" t="s">
        <v>284</v>
      </c>
      <c r="J629" s="173" t="s">
        <v>79</v>
      </c>
      <c r="K629" s="240">
        <v>42278</v>
      </c>
      <c r="L629" s="173" t="s">
        <v>865</v>
      </c>
      <c r="M629" s="262" t="s">
        <v>866</v>
      </c>
      <c r="N629" s="337"/>
      <c r="O629" s="461">
        <f>CompletedProjects[[#This Row],[Power Plant Size (MW) or Share]]*0.593*9057*211.9*10^(-9)</f>
        <v>0</v>
      </c>
      <c r="P629" s="337">
        <f>CompletedProjects[[#This Row],[Annual Emissions (MMTCO2)]]*40</f>
        <v>0</v>
      </c>
      <c r="Q629" s="176"/>
      <c r="R629" s="178"/>
      <c r="S629" s="167"/>
      <c r="T629" s="178"/>
      <c r="U629" s="2"/>
      <c r="V629" s="2"/>
      <c r="Y629" s="2"/>
    </row>
    <row r="630" spans="1:25" ht="28.7">
      <c r="A630" s="183" t="s">
        <v>86</v>
      </c>
      <c r="B630" s="183" t="s">
        <v>508</v>
      </c>
      <c r="C630" s="183" t="s">
        <v>464</v>
      </c>
      <c r="D630" s="172">
        <f>147000000*'Dev Bank Share by Country'!$O$83</f>
        <v>2786965.1535330722</v>
      </c>
      <c r="E630" s="173" t="s">
        <v>471</v>
      </c>
      <c r="F630" s="173" t="s">
        <v>472</v>
      </c>
      <c r="G630" s="262" t="s">
        <v>930</v>
      </c>
      <c r="H630" s="173" t="s">
        <v>473</v>
      </c>
      <c r="I630" s="180" t="s">
        <v>283</v>
      </c>
      <c r="J630" s="173" t="s">
        <v>26</v>
      </c>
      <c r="K630" s="241">
        <v>39892</v>
      </c>
      <c r="L630" s="197"/>
      <c r="M630" s="262"/>
      <c r="N630" s="150">
        <f>720/12</f>
        <v>60</v>
      </c>
      <c r="O630" s="461">
        <f>CompletedProjects[[#This Row],[Power Plant Size (MW) or Share]]*0.593*9057*211.9*10^(-9)</f>
        <v>6.8284363914000015E-2</v>
      </c>
      <c r="P630" s="337">
        <f>CompletedProjects[[#This Row],[Annual Emissions (MMTCO2)]]*40</f>
        <v>2.7313745565600005</v>
      </c>
      <c r="Q630" s="203"/>
      <c r="R630" s="173"/>
      <c r="S630" s="167"/>
      <c r="T630" s="173"/>
      <c r="U630" s="2"/>
      <c r="V630" s="2"/>
      <c r="Y630" s="2"/>
    </row>
    <row r="631" spans="1:25" ht="43">
      <c r="A631" s="183" t="s">
        <v>86</v>
      </c>
      <c r="B631" s="183" t="s">
        <v>508</v>
      </c>
      <c r="C631" s="183" t="s">
        <v>464</v>
      </c>
      <c r="D631" s="172">
        <f>50000000*'Dev Bank Share by Country'!$O$83</f>
        <v>947947.33113369811</v>
      </c>
      <c r="E631" s="173" t="s">
        <v>475</v>
      </c>
      <c r="F631" s="173" t="s">
        <v>476</v>
      </c>
      <c r="G631" s="262" t="s">
        <v>931</v>
      </c>
      <c r="H631" s="173" t="s">
        <v>473</v>
      </c>
      <c r="I631" s="180" t="s">
        <v>283</v>
      </c>
      <c r="J631" s="173" t="s">
        <v>26</v>
      </c>
      <c r="K631" s="241">
        <v>39892</v>
      </c>
      <c r="L631" s="197"/>
      <c r="M631" s="262"/>
      <c r="N631" s="462">
        <f>360/12</f>
        <v>30</v>
      </c>
      <c r="O631" s="461">
        <f>CompletedProjects[[#This Row],[Power Plant Size (MW) or Share]]*0.593*9057*211.9*10^(-9)</f>
        <v>3.4142181957000008E-2</v>
      </c>
      <c r="P631" s="337">
        <f>CompletedProjects[[#This Row],[Annual Emissions (MMTCO2)]]*40</f>
        <v>1.3656872782800002</v>
      </c>
      <c r="Q631" s="203"/>
      <c r="R631" s="173"/>
      <c r="S631" s="167"/>
      <c r="T631" s="173"/>
      <c r="U631" s="2"/>
      <c r="V631" s="2"/>
      <c r="Y631" s="2"/>
    </row>
    <row r="632" spans="1:25" ht="86">
      <c r="A632" s="167" t="s">
        <v>86</v>
      </c>
      <c r="B632" s="167" t="s">
        <v>511</v>
      </c>
      <c r="C632" s="167" t="s">
        <v>464</v>
      </c>
      <c r="D632" s="172">
        <f>8000000*'Dev Bank Share by Country'!$G$83</f>
        <v>253580.30358589551</v>
      </c>
      <c r="E632" s="173" t="s">
        <v>405</v>
      </c>
      <c r="F632" s="173" t="s">
        <v>406</v>
      </c>
      <c r="G632" s="262" t="s">
        <v>786</v>
      </c>
      <c r="H632" s="173" t="s">
        <v>65</v>
      </c>
      <c r="I632" s="180" t="s">
        <v>283</v>
      </c>
      <c r="J632" s="173" t="s">
        <v>26</v>
      </c>
      <c r="K632" s="241">
        <v>39234</v>
      </c>
      <c r="L632" s="173" t="s">
        <v>815</v>
      </c>
      <c r="M632" s="262" t="s">
        <v>806</v>
      </c>
      <c r="N632" s="256">
        <f>600/19</f>
        <v>31.578947368421051</v>
      </c>
      <c r="O632" s="461">
        <f>CompletedProjects[[#This Row],[Power Plant Size (MW) or Share]]*0.593*9057*211.9*10^(-9)</f>
        <v>3.5939138902105268E-2</v>
      </c>
      <c r="P632" s="337">
        <f>CompletedProjects[[#This Row],[Annual Emissions (MMTCO2)]]*40</f>
        <v>1.4375655560842107</v>
      </c>
      <c r="Q632" s="167"/>
      <c r="R632" s="167" t="s">
        <v>467</v>
      </c>
      <c r="S632" s="167" t="s">
        <v>633</v>
      </c>
      <c r="T632" s="167"/>
      <c r="U632" s="2"/>
      <c r="V632" s="2"/>
      <c r="Y632" s="2"/>
    </row>
    <row r="633" spans="1:25" ht="57.35">
      <c r="A633" s="167" t="s">
        <v>86</v>
      </c>
      <c r="B633" s="167" t="s">
        <v>477</v>
      </c>
      <c r="C633" s="167" t="s">
        <v>464</v>
      </c>
      <c r="D633" s="172">
        <v>18466471.640521713</v>
      </c>
      <c r="E633" s="173" t="s">
        <v>485</v>
      </c>
      <c r="F633" s="173" t="s">
        <v>486</v>
      </c>
      <c r="G633" s="262" t="s">
        <v>936</v>
      </c>
      <c r="H633" s="173" t="s">
        <v>70</v>
      </c>
      <c r="I633" s="180" t="s">
        <v>244</v>
      </c>
      <c r="J633" s="173" t="s">
        <v>589</v>
      </c>
      <c r="K633" s="241">
        <v>39436</v>
      </c>
      <c r="L633" s="173"/>
      <c r="M633" s="262"/>
      <c r="N633" s="150">
        <f>1600/4</f>
        <v>400</v>
      </c>
      <c r="O633" s="461">
        <f>CompletedProjects[[#This Row],[Power Plant Size (MW) or Share]]*0.593*9057*211.9*10^(-9)</f>
        <v>0.45522909276000001</v>
      </c>
      <c r="P633" s="337">
        <f>CompletedProjects[[#This Row],[Annual Emissions (MMTCO2)]]*40</f>
        <v>18.209163710399999</v>
      </c>
      <c r="Q633" s="203"/>
      <c r="R633" s="167" t="s">
        <v>487</v>
      </c>
      <c r="S633" s="167"/>
      <c r="T633" s="167"/>
      <c r="U633" s="2"/>
      <c r="V633" s="2"/>
      <c r="Y633" s="2"/>
    </row>
    <row r="634" spans="1:25" ht="71.7">
      <c r="A634" s="167" t="s">
        <v>86</v>
      </c>
      <c r="B634" s="186" t="s">
        <v>519</v>
      </c>
      <c r="C634" s="186" t="s">
        <v>464</v>
      </c>
      <c r="D634" s="172">
        <f>902850000*'Dev Bank Share by Country'!$K$83</f>
        <v>16332556.499999998</v>
      </c>
      <c r="E634" s="173" t="s">
        <v>91</v>
      </c>
      <c r="F634" s="173" t="s">
        <v>536</v>
      </c>
      <c r="G634" s="262"/>
      <c r="H634" s="173" t="s">
        <v>63</v>
      </c>
      <c r="I634" s="180" t="s">
        <v>283</v>
      </c>
      <c r="J634" s="173" t="s">
        <v>26</v>
      </c>
      <c r="K634" s="241">
        <v>40168</v>
      </c>
      <c r="L634" s="173" t="s">
        <v>1323</v>
      </c>
      <c r="M634" s="262"/>
      <c r="N634" s="337"/>
      <c r="O634" s="461">
        <f>CompletedProjects[[#This Row],[Power Plant Size (MW) or Share]]*0.593*9057*211.9*10^(-9)</f>
        <v>0</v>
      </c>
      <c r="P634" s="337">
        <f>CompletedProjects[[#This Row],[Annual Emissions (MMTCO2)]]*40</f>
        <v>0</v>
      </c>
      <c r="Q634" s="176"/>
      <c r="R634" s="178" t="s">
        <v>537</v>
      </c>
      <c r="S634" s="167"/>
      <c r="T634" s="178"/>
      <c r="U634" s="2"/>
      <c r="V634" s="2"/>
      <c r="Y634" s="2"/>
    </row>
    <row r="635" spans="1:25" ht="114.7">
      <c r="A635" s="167" t="s">
        <v>86</v>
      </c>
      <c r="B635" s="167" t="s">
        <v>511</v>
      </c>
      <c r="C635" s="167" t="s">
        <v>464</v>
      </c>
      <c r="D635" s="172">
        <f>275000000*'Dev Bank Share by Country'!$G$83</f>
        <v>8716822.9357651584</v>
      </c>
      <c r="E635" s="173" t="s">
        <v>413</v>
      </c>
      <c r="F635" s="173" t="s">
        <v>413</v>
      </c>
      <c r="G635" s="262" t="s">
        <v>766</v>
      </c>
      <c r="H635" s="173" t="s">
        <v>95</v>
      </c>
      <c r="I635" s="180" t="s">
        <v>283</v>
      </c>
      <c r="J635" s="173" t="s">
        <v>277</v>
      </c>
      <c r="K635" s="241">
        <v>39394</v>
      </c>
      <c r="L635" s="173" t="s">
        <v>917</v>
      </c>
      <c r="M635" s="262"/>
      <c r="N635" s="256">
        <f>600/7/2</f>
        <v>42.857142857142854</v>
      </c>
      <c r="O635" s="461">
        <f>CompletedProjects[[#This Row],[Power Plant Size (MW) or Share]]*0.593*9057*211.9*10^(-9)</f>
        <v>4.8774545652857132E-2</v>
      </c>
      <c r="P635" s="337">
        <f>CompletedProjects[[#This Row],[Annual Emissions (MMTCO2)]]*40</f>
        <v>1.9509818261142853</v>
      </c>
      <c r="Q635" s="167"/>
      <c r="R635" s="167" t="s">
        <v>640</v>
      </c>
      <c r="S635" s="167" t="s">
        <v>465</v>
      </c>
      <c r="T635" s="167"/>
      <c r="U635" s="2"/>
      <c r="V635" s="2"/>
      <c r="Y635" s="2"/>
    </row>
    <row r="636" spans="1:25" ht="28.7">
      <c r="A636" s="173" t="s">
        <v>86</v>
      </c>
      <c r="B636" s="173" t="s">
        <v>509</v>
      </c>
      <c r="C636" s="173" t="s">
        <v>464</v>
      </c>
      <c r="D636" s="172">
        <v>3177715.0376439244</v>
      </c>
      <c r="E636" s="173" t="s">
        <v>429</v>
      </c>
      <c r="F636" s="173" t="s">
        <v>430</v>
      </c>
      <c r="G636" s="262" t="s">
        <v>928</v>
      </c>
      <c r="H636" s="173" t="s">
        <v>431</v>
      </c>
      <c r="I636" s="180" t="s">
        <v>283</v>
      </c>
      <c r="J636" s="173" t="s">
        <v>26</v>
      </c>
      <c r="K636" s="241">
        <v>40114</v>
      </c>
      <c r="L636" s="173"/>
      <c r="M636" s="262"/>
      <c r="N636" s="337">
        <f>600/15/2</f>
        <v>20</v>
      </c>
      <c r="O636" s="461">
        <f>CompletedProjects[[#This Row],[Power Plant Size (MW) or Share]]*0.593*9057*211.9*10^(-9)</f>
        <v>2.2761454637999997E-2</v>
      </c>
      <c r="P636" s="337">
        <f>CompletedProjects[[#This Row],[Annual Emissions (MMTCO2)]]*40</f>
        <v>0.91045818551999991</v>
      </c>
      <c r="Q636" s="176"/>
      <c r="R636" s="178" t="s">
        <v>467</v>
      </c>
      <c r="S636" s="167"/>
      <c r="T636" s="178"/>
      <c r="U636" s="2"/>
      <c r="V636" s="2"/>
      <c r="Y636" s="2"/>
    </row>
    <row r="637" spans="1:25" ht="28.7">
      <c r="A637" s="167" t="s">
        <v>86</v>
      </c>
      <c r="B637" s="171" t="s">
        <v>509</v>
      </c>
      <c r="C637" s="171" t="s">
        <v>464</v>
      </c>
      <c r="D637" s="172">
        <v>64207816.840232976</v>
      </c>
      <c r="E637" s="173" t="s">
        <v>41</v>
      </c>
      <c r="F637" s="173" t="s">
        <v>468</v>
      </c>
      <c r="G637" s="262" t="s">
        <v>927</v>
      </c>
      <c r="H637" s="173" t="s">
        <v>25</v>
      </c>
      <c r="I637" s="180" t="s">
        <v>283</v>
      </c>
      <c r="J637" s="173" t="s">
        <v>26</v>
      </c>
      <c r="K637" s="241">
        <v>40142</v>
      </c>
      <c r="L637" s="173"/>
      <c r="M637" s="262"/>
      <c r="N637" s="337">
        <f>4800/15/2</f>
        <v>160</v>
      </c>
      <c r="O637" s="461">
        <f>CompletedProjects[[#This Row],[Power Plant Size (MW) or Share]]*0.593*9057*211.9*10^(-9)</f>
        <v>0.18209163710399998</v>
      </c>
      <c r="P637" s="337">
        <f>CompletedProjects[[#This Row],[Annual Emissions (MMTCO2)]]*40</f>
        <v>7.2836654841599993</v>
      </c>
      <c r="Q637" s="176"/>
      <c r="R637" s="178" t="s">
        <v>642</v>
      </c>
      <c r="S637" s="167"/>
      <c r="T637" s="178"/>
      <c r="U637" s="2"/>
      <c r="V637" s="2"/>
      <c r="Y637" s="2"/>
    </row>
    <row r="638" spans="1:25" ht="43">
      <c r="A638" s="181" t="s">
        <v>86</v>
      </c>
      <c r="B638" s="182" t="s">
        <v>509</v>
      </c>
      <c r="C638" s="182" t="s">
        <v>464</v>
      </c>
      <c r="D638" s="172">
        <v>2012329.9270379429</v>
      </c>
      <c r="E638" s="173" t="s">
        <v>469</v>
      </c>
      <c r="F638" s="173" t="s">
        <v>516</v>
      </c>
      <c r="G638" s="262" t="s">
        <v>929</v>
      </c>
      <c r="H638" s="173" t="s">
        <v>458</v>
      </c>
      <c r="I638" s="180" t="s">
        <v>283</v>
      </c>
      <c r="J638" s="173" t="s">
        <v>26</v>
      </c>
      <c r="K638" s="241">
        <v>40142</v>
      </c>
      <c r="L638" s="173"/>
      <c r="M638" s="262"/>
      <c r="N638" s="150">
        <f>125/15</f>
        <v>8.3333333333333339</v>
      </c>
      <c r="O638" s="461">
        <f>CompletedProjects[[#This Row],[Power Plant Size (MW) or Share]]*0.593*9057*211.9*10^(-9)</f>
        <v>9.4839394324999996E-3</v>
      </c>
      <c r="P638" s="337">
        <f>CompletedProjects[[#This Row],[Annual Emissions (MMTCO2)]]*40</f>
        <v>0.37935757729999997</v>
      </c>
      <c r="Q638" s="203"/>
      <c r="R638" s="167" t="s">
        <v>470</v>
      </c>
      <c r="S638" s="167"/>
      <c r="T638" s="167" t="s">
        <v>537</v>
      </c>
      <c r="U638" s="2"/>
      <c r="V638" s="2"/>
      <c r="Y638" s="2"/>
    </row>
    <row r="639" spans="1:25" ht="57.35">
      <c r="A639" s="167" t="s">
        <v>86</v>
      </c>
      <c r="B639" s="171" t="s">
        <v>519</v>
      </c>
      <c r="C639" s="171" t="s">
        <v>464</v>
      </c>
      <c r="D639" s="172">
        <f>450000000*'Dev Bank Share by Country'!$K$83</f>
        <v>8140499.9999999991</v>
      </c>
      <c r="E639" s="183" t="s">
        <v>1395</v>
      </c>
      <c r="F639" s="183" t="s">
        <v>1393</v>
      </c>
      <c r="G639" s="262" t="s">
        <v>1394</v>
      </c>
      <c r="H639" s="183" t="s">
        <v>65</v>
      </c>
      <c r="I639" s="180" t="s">
        <v>283</v>
      </c>
      <c r="J639" s="183" t="s">
        <v>26</v>
      </c>
      <c r="K639" s="242">
        <v>39562</v>
      </c>
      <c r="L639" s="173" t="s">
        <v>525</v>
      </c>
      <c r="M639" s="262" t="s">
        <v>821</v>
      </c>
      <c r="N639" s="338">
        <f>4000/3/13</f>
        <v>102.56410256410255</v>
      </c>
      <c r="O639" s="461">
        <f>CompletedProjects[[#This Row],[Power Plant Size (MW) or Share]]*0.593*9057*211.9*10^(-9)</f>
        <v>0.11672540839999998</v>
      </c>
      <c r="P639" s="337">
        <f>CompletedProjects[[#This Row],[Annual Emissions (MMTCO2)]]*40</f>
        <v>4.6690163359999994</v>
      </c>
      <c r="Q639" s="169"/>
      <c r="R639" s="183" t="s">
        <v>1396</v>
      </c>
      <c r="S639" s="181"/>
      <c r="T639" s="183"/>
      <c r="U639" s="2"/>
      <c r="V639" s="2"/>
      <c r="Y639" s="2"/>
    </row>
    <row r="640" spans="1:25" ht="57.35">
      <c r="A640" s="167" t="s">
        <v>86</v>
      </c>
      <c r="B640" s="186" t="s">
        <v>519</v>
      </c>
      <c r="C640" s="186" t="s">
        <v>464</v>
      </c>
      <c r="D640" s="172"/>
      <c r="E640" s="173" t="s">
        <v>526</v>
      </c>
      <c r="F640" s="173" t="s">
        <v>527</v>
      </c>
      <c r="G640" s="174" t="s">
        <v>901</v>
      </c>
      <c r="H640" s="173" t="s">
        <v>95</v>
      </c>
      <c r="I640" s="180" t="s">
        <v>283</v>
      </c>
      <c r="J640" s="173" t="s">
        <v>277</v>
      </c>
      <c r="K640" s="241">
        <v>39601</v>
      </c>
      <c r="L640" s="172">
        <f>120000000*'Dev Bank Share by Country'!$K$83</f>
        <v>2170800</v>
      </c>
      <c r="M640" s="450"/>
      <c r="N640" s="337"/>
      <c r="O640" s="461">
        <f>CompletedProjects[[#This Row],[Power Plant Size (MW) or Share]]*0.593*9057*211.9*10^(-9)</f>
        <v>0</v>
      </c>
      <c r="P640" s="337">
        <f>CompletedProjects[[#This Row],[Annual Emissions (MMTCO2)]]*40</f>
        <v>0</v>
      </c>
      <c r="Q640" s="176"/>
      <c r="R640" s="178" t="s">
        <v>1321</v>
      </c>
      <c r="S640" s="167" t="s">
        <v>1688</v>
      </c>
      <c r="T640" s="178"/>
      <c r="U640" s="2"/>
      <c r="V640" s="2"/>
      <c r="Y640" s="2"/>
    </row>
    <row r="641" spans="1:25" ht="57.35">
      <c r="A641" s="167" t="s">
        <v>86</v>
      </c>
      <c r="B641" s="171" t="s">
        <v>76</v>
      </c>
      <c r="C641" s="171" t="s">
        <v>336</v>
      </c>
      <c r="D641" s="172">
        <v>5800000</v>
      </c>
      <c r="E641" s="173" t="s">
        <v>35</v>
      </c>
      <c r="F641" s="173" t="s">
        <v>77</v>
      </c>
      <c r="G641" s="262"/>
      <c r="H641" s="173" t="s">
        <v>78</v>
      </c>
      <c r="I641" s="173" t="s">
        <v>284</v>
      </c>
      <c r="J641" s="173" t="s">
        <v>79</v>
      </c>
      <c r="K641" s="241">
        <v>40179</v>
      </c>
      <c r="L641" s="173" t="s">
        <v>12</v>
      </c>
      <c r="M641" s="262"/>
      <c r="N641" s="462"/>
      <c r="O641" s="461">
        <f>CompletedProjects[[#This Row],[Power Plant Size (MW) or Share]]*0.593*9057*211.9*10^(-9)</f>
        <v>0</v>
      </c>
      <c r="P641" s="337">
        <f>CompletedProjects[[#This Row],[Annual Emissions (MMTCO2)]]*40</f>
        <v>0</v>
      </c>
      <c r="Q641" s="210"/>
      <c r="R641" s="167"/>
      <c r="S641" s="167"/>
      <c r="T641" s="167"/>
      <c r="U641" s="2"/>
      <c r="V641" s="2"/>
      <c r="Y641" s="2"/>
    </row>
    <row r="642" spans="1:25" ht="43">
      <c r="A642" s="181" t="s">
        <v>86</v>
      </c>
      <c r="B642" s="182" t="s">
        <v>559</v>
      </c>
      <c r="C642" s="182" t="s">
        <v>464</v>
      </c>
      <c r="D642" s="172">
        <v>2690146.8494751859</v>
      </c>
      <c r="E642" s="173" t="s">
        <v>588</v>
      </c>
      <c r="F642" s="173" t="s">
        <v>588</v>
      </c>
      <c r="G642" s="265" t="s">
        <v>793</v>
      </c>
      <c r="H642" s="173" t="s">
        <v>201</v>
      </c>
      <c r="I642" s="173" t="s">
        <v>40</v>
      </c>
      <c r="J642" s="173" t="s">
        <v>40</v>
      </c>
      <c r="K642" s="240">
        <v>39422</v>
      </c>
      <c r="L642" s="167" t="s">
        <v>905</v>
      </c>
      <c r="M642" s="262"/>
      <c r="N642" s="337"/>
      <c r="O642" s="461">
        <f>CompletedProjects[[#This Row],[Power Plant Size (MW) or Share]]*0.593*9057*211.9*10^(-9)</f>
        <v>0</v>
      </c>
      <c r="P642" s="337">
        <f>CompletedProjects[[#This Row],[Annual Emissions (MMTCO2)]]*40</f>
        <v>0</v>
      </c>
      <c r="Q642" s="176"/>
      <c r="R642" s="178" t="s">
        <v>537</v>
      </c>
      <c r="S642" s="167"/>
      <c r="T642" s="178"/>
      <c r="U642" s="2"/>
      <c r="V642" s="2"/>
      <c r="Y642" s="2"/>
    </row>
    <row r="643" spans="1:25" ht="43">
      <c r="A643" s="167" t="s">
        <v>86</v>
      </c>
      <c r="B643" s="167" t="s">
        <v>477</v>
      </c>
      <c r="C643" s="194" t="s">
        <v>464</v>
      </c>
      <c r="D643" s="172">
        <v>13723740.742281655</v>
      </c>
      <c r="E643" s="173" t="s">
        <v>495</v>
      </c>
      <c r="F643" s="173" t="s">
        <v>496</v>
      </c>
      <c r="G643" s="262" t="s">
        <v>941</v>
      </c>
      <c r="H643" s="173" t="s">
        <v>493</v>
      </c>
      <c r="I643" s="180" t="s">
        <v>283</v>
      </c>
      <c r="J643" s="173" t="s">
        <v>26</v>
      </c>
      <c r="K643" s="241">
        <v>40218</v>
      </c>
      <c r="L643" s="173"/>
      <c r="M643" s="262" t="s">
        <v>942</v>
      </c>
      <c r="N643" s="256">
        <f>(36+165)/4</f>
        <v>50.25</v>
      </c>
      <c r="O643" s="461">
        <f>CompletedProjects[[#This Row],[Power Plant Size (MW) or Share]]*0.593*9057*211.9*10^(-9)</f>
        <v>5.7188154777975002E-2</v>
      </c>
      <c r="P643" s="337">
        <f>CompletedProjects[[#This Row],[Annual Emissions (MMTCO2)]]*40</f>
        <v>2.2875261911189999</v>
      </c>
      <c r="Q643" s="204"/>
      <c r="R643" s="167" t="s">
        <v>497</v>
      </c>
      <c r="S643" s="167"/>
      <c r="T643" s="167"/>
      <c r="U643" s="2"/>
      <c r="V643" s="2"/>
      <c r="Y643" s="2"/>
    </row>
    <row r="644" spans="1:25" ht="172">
      <c r="A644" s="167" t="s">
        <v>86</v>
      </c>
      <c r="B644" s="167" t="s">
        <v>512</v>
      </c>
      <c r="C644" s="167" t="s">
        <v>464</v>
      </c>
      <c r="D644" s="172">
        <f>11250000*'Dev Bank Share by Country'!$E$83</f>
        <v>257530.39461025741</v>
      </c>
      <c r="E644" s="173" t="s">
        <v>270</v>
      </c>
      <c r="F644" s="173" t="s">
        <v>433</v>
      </c>
      <c r="G644" s="262" t="s">
        <v>767</v>
      </c>
      <c r="H644" s="173" t="s">
        <v>201</v>
      </c>
      <c r="I644" s="173" t="s">
        <v>40</v>
      </c>
      <c r="J644" s="173" t="s">
        <v>417</v>
      </c>
      <c r="K644" s="241">
        <v>40673</v>
      </c>
      <c r="L644" s="173" t="s">
        <v>828</v>
      </c>
      <c r="M644" s="273" t="s">
        <v>827</v>
      </c>
      <c r="N644" s="256"/>
      <c r="O644" s="461">
        <f>CompletedProjects[[#This Row],[Power Plant Size (MW) or Share]]*0.593*9057*211.9*10^(-9)</f>
        <v>0</v>
      </c>
      <c r="P644" s="337">
        <f>CompletedProjects[[#This Row],[Annual Emissions (MMTCO2)]]*40</f>
        <v>0</v>
      </c>
      <c r="Q644" s="167"/>
      <c r="R644" s="167" t="s">
        <v>400</v>
      </c>
      <c r="S644" s="167" t="s">
        <v>465</v>
      </c>
      <c r="T644" s="167"/>
      <c r="U644" s="2"/>
      <c r="V644" s="2"/>
      <c r="Y644" s="2"/>
    </row>
    <row r="645" spans="1:25" ht="28.7">
      <c r="A645" s="167" t="s">
        <v>86</v>
      </c>
      <c r="B645" s="167" t="s">
        <v>477</v>
      </c>
      <c r="C645" s="194" t="s">
        <v>464</v>
      </c>
      <c r="D645" s="172">
        <v>14325511.997638566</v>
      </c>
      <c r="E645" s="173" t="s">
        <v>501</v>
      </c>
      <c r="F645" s="173" t="s">
        <v>502</v>
      </c>
      <c r="G645" s="262" t="s">
        <v>944</v>
      </c>
      <c r="H645" s="173" t="s">
        <v>493</v>
      </c>
      <c r="I645" s="180" t="s">
        <v>283</v>
      </c>
      <c r="J645" s="173" t="s">
        <v>26</v>
      </c>
      <c r="K645" s="241">
        <v>40840</v>
      </c>
      <c r="L645" s="173"/>
      <c r="M645" s="262"/>
      <c r="N645" s="256">
        <f>(50+106)/4</f>
        <v>39</v>
      </c>
      <c r="O645" s="461">
        <f>CompletedProjects[[#This Row],[Power Plant Size (MW) or Share]]*0.593*9057*211.9*10^(-9)</f>
        <v>4.4384836544100005E-2</v>
      </c>
      <c r="P645" s="337">
        <f>CompletedProjects[[#This Row],[Annual Emissions (MMTCO2)]]*40</f>
        <v>1.7753934617640001</v>
      </c>
      <c r="Q645" s="203"/>
      <c r="R645" s="167" t="s">
        <v>503</v>
      </c>
      <c r="S645" s="167"/>
      <c r="T645" s="167"/>
      <c r="U645" s="2"/>
      <c r="V645" s="2"/>
      <c r="Y645" s="2"/>
    </row>
    <row r="646" spans="1:25" ht="129">
      <c r="A646" s="181" t="s">
        <v>86</v>
      </c>
      <c r="B646" s="182" t="s">
        <v>559</v>
      </c>
      <c r="C646" s="182" t="s">
        <v>464</v>
      </c>
      <c r="D646" s="172">
        <v>7311834.7986874059</v>
      </c>
      <c r="E646" s="173" t="s">
        <v>591</v>
      </c>
      <c r="F646" s="173" t="s">
        <v>590</v>
      </c>
      <c r="G646" s="265" t="s">
        <v>794</v>
      </c>
      <c r="H646" s="173" t="s">
        <v>45</v>
      </c>
      <c r="I646" s="180" t="s">
        <v>283</v>
      </c>
      <c r="J646" s="173" t="s">
        <v>277</v>
      </c>
      <c r="K646" s="240">
        <v>39553</v>
      </c>
      <c r="L646" s="173" t="s">
        <v>1687</v>
      </c>
      <c r="M646" s="262"/>
      <c r="N646" s="337"/>
      <c r="O646" s="461">
        <f>CompletedProjects[[#This Row],[Power Plant Size (MW) or Share]]*0.593*9057*211.9*10^(-9)</f>
        <v>0</v>
      </c>
      <c r="P646" s="337">
        <f>CompletedProjects[[#This Row],[Annual Emissions (MMTCO2)]]*40</f>
        <v>0</v>
      </c>
      <c r="Q646" s="176"/>
      <c r="R646" s="178"/>
      <c r="S646" s="167"/>
      <c r="T646" s="178"/>
      <c r="U646" s="2"/>
      <c r="V646" s="2"/>
      <c r="Y646" s="2"/>
    </row>
    <row r="647" spans="1:25" ht="43">
      <c r="A647" s="181" t="s">
        <v>86</v>
      </c>
      <c r="B647" s="182" t="s">
        <v>559</v>
      </c>
      <c r="C647" s="182" t="s">
        <v>464</v>
      </c>
      <c r="D647" s="172"/>
      <c r="E647" s="173" t="s">
        <v>611</v>
      </c>
      <c r="F647" s="173" t="s">
        <v>612</v>
      </c>
      <c r="G647" s="262" t="s">
        <v>804</v>
      </c>
      <c r="H647" s="173" t="s">
        <v>613</v>
      </c>
      <c r="I647" s="180" t="s">
        <v>283</v>
      </c>
      <c r="J647" s="173" t="s">
        <v>277</v>
      </c>
      <c r="K647" s="240">
        <v>39814</v>
      </c>
      <c r="L647" s="197"/>
      <c r="M647" s="262"/>
      <c r="N647" s="337"/>
      <c r="O647" s="461">
        <f>CompletedProjects[[#This Row],[Power Plant Size (MW) or Share]]*0.593*9057*211.9*10^(-9)</f>
        <v>0</v>
      </c>
      <c r="P647" s="337">
        <f>CompletedProjects[[#This Row],[Annual Emissions (MMTCO2)]]*40</f>
        <v>0</v>
      </c>
      <c r="Q647" s="176"/>
      <c r="R647" s="173" t="s">
        <v>914</v>
      </c>
      <c r="S647" s="167" t="s">
        <v>1688</v>
      </c>
      <c r="T647" s="173"/>
      <c r="U647" s="2"/>
      <c r="V647" s="2"/>
      <c r="Y647" s="2"/>
    </row>
    <row r="648" spans="1:25" ht="71.7">
      <c r="A648" s="181" t="s">
        <v>86</v>
      </c>
      <c r="B648" s="182" t="s">
        <v>559</v>
      </c>
      <c r="C648" s="182" t="s">
        <v>464</v>
      </c>
      <c r="D648" s="172">
        <v>4974929.1051938375</v>
      </c>
      <c r="E648" s="173" t="s">
        <v>604</v>
      </c>
      <c r="F648" s="173" t="s">
        <v>605</v>
      </c>
      <c r="G648" s="262" t="s">
        <v>802</v>
      </c>
      <c r="H648" s="173" t="s">
        <v>493</v>
      </c>
      <c r="I648" s="180" t="s">
        <v>283</v>
      </c>
      <c r="J648" s="173" t="s">
        <v>277</v>
      </c>
      <c r="K648" s="240">
        <v>40589</v>
      </c>
      <c r="L648" s="173" t="s">
        <v>1693</v>
      </c>
      <c r="M648" s="262"/>
      <c r="N648" s="337">
        <f>154/12</f>
        <v>12.833333333333334</v>
      </c>
      <c r="O648" s="461">
        <f>CompletedProjects[[#This Row],[Power Plant Size (MW) or Share]]*0.593*9057*211.9*10^(-9)</f>
        <v>1.460526672605E-2</v>
      </c>
      <c r="P648" s="337">
        <f>CompletedProjects[[#This Row],[Annual Emissions (MMTCO2)]]*40</f>
        <v>0.58421066904200003</v>
      </c>
      <c r="Q648" s="176"/>
      <c r="R648" s="178" t="s">
        <v>537</v>
      </c>
      <c r="S648" s="167"/>
      <c r="T648" s="178"/>
      <c r="U648" s="2"/>
      <c r="V648" s="2"/>
      <c r="Y648" s="2"/>
    </row>
    <row r="649" spans="1:25" ht="43">
      <c r="A649" s="181" t="s">
        <v>86</v>
      </c>
      <c r="B649" s="182" t="s">
        <v>559</v>
      </c>
      <c r="C649" s="182" t="s">
        <v>464</v>
      </c>
      <c r="D649" s="172">
        <v>3163317.8843691777</v>
      </c>
      <c r="E649" s="173" t="s">
        <v>587</v>
      </c>
      <c r="F649" s="173" t="s">
        <v>587</v>
      </c>
      <c r="G649" s="262" t="s">
        <v>792</v>
      </c>
      <c r="H649" s="173" t="s">
        <v>39</v>
      </c>
      <c r="I649" s="180" t="s">
        <v>283</v>
      </c>
      <c r="J649" s="173" t="s">
        <v>277</v>
      </c>
      <c r="K649" s="240">
        <v>39415</v>
      </c>
      <c r="L649" s="167" t="s">
        <v>904</v>
      </c>
      <c r="M649" s="262"/>
      <c r="N649" s="338">
        <f>550/12</f>
        <v>45.833333333333336</v>
      </c>
      <c r="O649" s="461">
        <f>CompletedProjects[[#This Row],[Power Plant Size (MW) or Share]]*0.593*9057*211.9*10^(-9)</f>
        <v>5.2161666878750006E-2</v>
      </c>
      <c r="P649" s="337">
        <f>CompletedProjects[[#This Row],[Annual Emissions (MMTCO2)]]*40</f>
        <v>2.0864666751500001</v>
      </c>
      <c r="Q649" s="169"/>
      <c r="R649" s="178" t="s">
        <v>537</v>
      </c>
      <c r="S649" s="181"/>
      <c r="T649" s="178"/>
      <c r="U649" s="2"/>
      <c r="V649" s="2"/>
      <c r="Y649" s="2"/>
    </row>
    <row r="650" spans="1:25" ht="86">
      <c r="A650" s="167" t="s">
        <v>86</v>
      </c>
      <c r="B650" s="186" t="s">
        <v>519</v>
      </c>
      <c r="C650" s="186" t="s">
        <v>464</v>
      </c>
      <c r="D650" s="172">
        <f>200000*'Dev Bank Share by Country'!$K$83</f>
        <v>3617.9999999999995</v>
      </c>
      <c r="E650" s="173" t="s">
        <v>528</v>
      </c>
      <c r="F650" s="173" t="s">
        <v>529</v>
      </c>
      <c r="G650" s="262"/>
      <c r="H650" s="173" t="s">
        <v>239</v>
      </c>
      <c r="I650" s="180" t="s">
        <v>283</v>
      </c>
      <c r="J650" s="173" t="s">
        <v>26</v>
      </c>
      <c r="K650" s="241">
        <v>39729</v>
      </c>
      <c r="L650" s="183" t="s">
        <v>1709</v>
      </c>
      <c r="M650" s="262"/>
      <c r="N650" s="337"/>
      <c r="O650" s="461">
        <f>CompletedProjects[[#This Row],[Power Plant Size (MW) or Share]]*0.593*9057*211.9*10^(-9)</f>
        <v>0</v>
      </c>
      <c r="P650" s="337">
        <f>CompletedProjects[[#This Row],[Annual Emissions (MMTCO2)]]*40</f>
        <v>0</v>
      </c>
      <c r="Q650" s="176"/>
      <c r="R650" s="178" t="s">
        <v>530</v>
      </c>
      <c r="S650" s="167"/>
      <c r="T650" s="178"/>
      <c r="U650" s="2"/>
      <c r="V650" s="2"/>
      <c r="Y650" s="2"/>
    </row>
    <row r="651" spans="1:25" ht="28.7">
      <c r="A651" s="167" t="s">
        <v>86</v>
      </c>
      <c r="B651" s="167" t="s">
        <v>477</v>
      </c>
      <c r="C651" s="194" t="s">
        <v>464</v>
      </c>
      <c r="D651" s="172">
        <v>92899168.101598889</v>
      </c>
      <c r="E651" s="173" t="s">
        <v>498</v>
      </c>
      <c r="F651" s="173" t="s">
        <v>499</v>
      </c>
      <c r="G651" s="262" t="s">
        <v>943</v>
      </c>
      <c r="H651" s="173" t="s">
        <v>481</v>
      </c>
      <c r="I651" s="180" t="s">
        <v>283</v>
      </c>
      <c r="J651" s="173" t="s">
        <v>26</v>
      </c>
      <c r="K651" s="241">
        <v>40290</v>
      </c>
      <c r="L651" s="173" t="s">
        <v>500</v>
      </c>
      <c r="M651" s="262"/>
      <c r="N651" s="256"/>
      <c r="O651" s="461">
        <f>CompletedProjects[[#This Row],[Power Plant Size (MW) or Share]]*0.593*9057*211.9*10^(-9)</f>
        <v>0</v>
      </c>
      <c r="P651" s="337">
        <f>CompletedProjects[[#This Row],[Annual Emissions (MMTCO2)]]*40</f>
        <v>0</v>
      </c>
      <c r="Q651" s="204"/>
      <c r="R651" s="167"/>
      <c r="S651" s="167"/>
      <c r="T651" s="167"/>
      <c r="U651" s="2"/>
      <c r="V651" s="2"/>
      <c r="Y651" s="2"/>
    </row>
    <row r="652" spans="1:25" ht="86">
      <c r="A652" s="167" t="s">
        <v>86</v>
      </c>
      <c r="B652" s="167" t="s">
        <v>477</v>
      </c>
      <c r="C652" s="167" t="s">
        <v>464</v>
      </c>
      <c r="D652" s="172">
        <v>25070873.909512851</v>
      </c>
      <c r="E652" s="173" t="s">
        <v>480</v>
      </c>
      <c r="F652" s="173" t="s">
        <v>518</v>
      </c>
      <c r="G652" s="262" t="s">
        <v>933</v>
      </c>
      <c r="H652" s="173" t="s">
        <v>481</v>
      </c>
      <c r="I652" s="180" t="s">
        <v>283</v>
      </c>
      <c r="J652" s="173" t="s">
        <v>26</v>
      </c>
      <c r="K652" s="241">
        <v>39352</v>
      </c>
      <c r="L652" s="173"/>
      <c r="M652" s="262" t="s">
        <v>934</v>
      </c>
      <c r="N652" s="150">
        <f>(600+120)/4</f>
        <v>180</v>
      </c>
      <c r="O652" s="461">
        <f>CompletedProjects[[#This Row],[Power Plant Size (MW) or Share]]*0.593*9057*211.9*10^(-9)</f>
        <v>0.204853091742</v>
      </c>
      <c r="P652" s="337">
        <f>CompletedProjects[[#This Row],[Annual Emissions (MMTCO2)]]*40</f>
        <v>8.1941236696799997</v>
      </c>
      <c r="Q652" s="203"/>
      <c r="R652" s="167" t="s">
        <v>474</v>
      </c>
      <c r="S652" s="167"/>
      <c r="T652" s="167"/>
      <c r="U652" s="2"/>
      <c r="V652" s="2"/>
      <c r="Y652" s="2"/>
    </row>
    <row r="653" spans="1:25" ht="86">
      <c r="A653" s="167" t="s">
        <v>86</v>
      </c>
      <c r="B653" s="171" t="s">
        <v>76</v>
      </c>
      <c r="C653" s="171" t="s">
        <v>336</v>
      </c>
      <c r="D653" s="172"/>
      <c r="E653" s="173" t="s">
        <v>80</v>
      </c>
      <c r="F653" s="173" t="s">
        <v>81</v>
      </c>
      <c r="G653" s="262" t="s">
        <v>689</v>
      </c>
      <c r="H653" s="173" t="s">
        <v>11</v>
      </c>
      <c r="I653" s="173" t="s">
        <v>40</v>
      </c>
      <c r="J653" s="173" t="s">
        <v>198</v>
      </c>
      <c r="K653" s="240">
        <v>40905</v>
      </c>
      <c r="L653" s="173" t="s">
        <v>82</v>
      </c>
      <c r="M653" s="262"/>
      <c r="N653" s="462"/>
      <c r="O653" s="461">
        <f>CompletedProjects[[#This Row],[Power Plant Size (MW) or Share]]*0.593*9057*211.9*10^(-9)</f>
        <v>0</v>
      </c>
      <c r="P653" s="337">
        <f>CompletedProjects[[#This Row],[Annual Emissions (MMTCO2)]]*40</f>
        <v>0</v>
      </c>
      <c r="Q653" s="210"/>
      <c r="R653" s="171"/>
      <c r="S653" s="167"/>
      <c r="T653" s="171"/>
      <c r="U653" s="2"/>
      <c r="V653" s="2"/>
      <c r="Y653" s="2"/>
    </row>
    <row r="654" spans="1:25" ht="43">
      <c r="A654" s="181" t="s">
        <v>86</v>
      </c>
      <c r="B654" s="182" t="s">
        <v>559</v>
      </c>
      <c r="C654" s="182" t="s">
        <v>464</v>
      </c>
      <c r="D654" s="172">
        <v>11884552.8624075</v>
      </c>
      <c r="E654" s="173" t="s">
        <v>600</v>
      </c>
      <c r="F654" s="173" t="s">
        <v>601</v>
      </c>
      <c r="G654" s="262" t="s">
        <v>800</v>
      </c>
      <c r="H654" s="173" t="s">
        <v>481</v>
      </c>
      <c r="I654" s="180" t="s">
        <v>283</v>
      </c>
      <c r="J654" s="173" t="s">
        <v>277</v>
      </c>
      <c r="K654" s="240">
        <v>40544</v>
      </c>
      <c r="L654" s="173" t="s">
        <v>909</v>
      </c>
      <c r="M654" s="267"/>
      <c r="N654" s="338">
        <f>600/12</f>
        <v>50</v>
      </c>
      <c r="O654" s="461">
        <f>CompletedProjects[[#This Row],[Power Plant Size (MW) or Share]]*0.593*9057*211.9*10^(-9)</f>
        <v>5.6903636595000001E-2</v>
      </c>
      <c r="P654" s="337">
        <f>CompletedProjects[[#This Row],[Annual Emissions (MMTCO2)]]*40</f>
        <v>2.2761454637999998</v>
      </c>
      <c r="Q654" s="169"/>
      <c r="R654" s="185"/>
      <c r="S654" s="181"/>
      <c r="T654" s="185"/>
      <c r="U654" s="2"/>
      <c r="V654" s="2"/>
      <c r="Y654" s="2"/>
    </row>
    <row r="655" spans="1:25" ht="57.35">
      <c r="A655" s="181" t="s">
        <v>86</v>
      </c>
      <c r="B655" s="182" t="s">
        <v>445</v>
      </c>
      <c r="C655" s="182" t="s">
        <v>464</v>
      </c>
      <c r="D655" s="172">
        <f>450000000*'Dev Bank Share by Country'!$G$83</f>
        <v>14263892.076706622</v>
      </c>
      <c r="E655" s="183" t="s">
        <v>1395</v>
      </c>
      <c r="F655" s="183" t="s">
        <v>1393</v>
      </c>
      <c r="G655" s="267" t="s">
        <v>1394</v>
      </c>
      <c r="H655" s="183" t="s">
        <v>65</v>
      </c>
      <c r="I655" s="180" t="s">
        <v>283</v>
      </c>
      <c r="J655" s="183" t="s">
        <v>26</v>
      </c>
      <c r="K655" s="242">
        <v>39562</v>
      </c>
      <c r="L655" s="183" t="s">
        <v>1396</v>
      </c>
      <c r="M655" s="262" t="s">
        <v>768</v>
      </c>
      <c r="N655" s="338">
        <f>4000/3/20</f>
        <v>66.666666666666657</v>
      </c>
      <c r="O655" s="461">
        <f>CompletedProjects[[#This Row],[Power Plant Size (MW) or Share]]*0.593*9057*211.9*10^(-9)</f>
        <v>7.5871515459999983E-2</v>
      </c>
      <c r="P655" s="337">
        <f>CompletedProjects[[#This Row],[Annual Emissions (MMTCO2)]]*40</f>
        <v>3.0348606183999993</v>
      </c>
      <c r="Q655" s="169"/>
      <c r="R655" s="185"/>
      <c r="S655" s="181"/>
      <c r="T655" s="185"/>
      <c r="U655" s="2"/>
      <c r="V655" s="2"/>
      <c r="Y655" s="2"/>
    </row>
    <row r="656" spans="1:25" ht="86">
      <c r="A656" s="167" t="s">
        <v>86</v>
      </c>
      <c r="B656" s="171" t="s">
        <v>76</v>
      </c>
      <c r="C656" s="171" t="s">
        <v>336</v>
      </c>
      <c r="D656" s="172">
        <v>57800000</v>
      </c>
      <c r="E656" s="173" t="s">
        <v>83</v>
      </c>
      <c r="F656" s="173" t="s">
        <v>84</v>
      </c>
      <c r="G656" s="262" t="s">
        <v>674</v>
      </c>
      <c r="H656" s="173" t="s">
        <v>85</v>
      </c>
      <c r="I656" s="173" t="s">
        <v>284</v>
      </c>
      <c r="J656" s="173" t="s">
        <v>1498</v>
      </c>
      <c r="K656" s="240">
        <v>41303</v>
      </c>
      <c r="L656" s="173" t="s">
        <v>814</v>
      </c>
      <c r="M656" s="262"/>
      <c r="N656" s="468"/>
      <c r="O656" s="461">
        <f>CompletedProjects[[#This Row],[Power Plant Size (MW) or Share]]*0.593*9057*211.9*10^(-9)</f>
        <v>0</v>
      </c>
      <c r="P656" s="337">
        <f>CompletedProjects[[#This Row],[Annual Emissions (MMTCO2)]]*40</f>
        <v>0</v>
      </c>
      <c r="Q656" s="207">
        <v>18</v>
      </c>
      <c r="R656" s="171"/>
      <c r="S656" s="167"/>
      <c r="T656" s="171"/>
      <c r="U656" s="2"/>
      <c r="V656" s="2"/>
      <c r="Y656" s="2"/>
    </row>
    <row r="657" spans="1:25" ht="129">
      <c r="A657" s="167" t="s">
        <v>86</v>
      </c>
      <c r="B657" s="167" t="s">
        <v>512</v>
      </c>
      <c r="C657" s="167" t="s">
        <v>464</v>
      </c>
      <c r="D657" s="172">
        <f>21000000*'Dev Bank Share by Country'!$E$83</f>
        <v>480723.40327248053</v>
      </c>
      <c r="E657" s="173" t="s">
        <v>434</v>
      </c>
      <c r="F657" s="173" t="s">
        <v>435</v>
      </c>
      <c r="G657" s="262" t="s">
        <v>790</v>
      </c>
      <c r="H657" s="173" t="s">
        <v>436</v>
      </c>
      <c r="I657" s="173" t="s">
        <v>284</v>
      </c>
      <c r="J657" s="173" t="s">
        <v>1498</v>
      </c>
      <c r="K657" s="241">
        <v>40801</v>
      </c>
      <c r="L657" s="173" t="s">
        <v>829</v>
      </c>
      <c r="M657" s="273" t="s">
        <v>775</v>
      </c>
      <c r="N657" s="256"/>
      <c r="O657" s="461">
        <f>CompletedProjects[[#This Row],[Power Plant Size (MW) or Share]]*0.593*9057*211.9*10^(-9)</f>
        <v>0</v>
      </c>
      <c r="P657" s="337">
        <f>CompletedProjects[[#This Row],[Annual Emissions (MMTCO2)]]*40</f>
        <v>0</v>
      </c>
      <c r="Q657" s="167"/>
      <c r="R657" s="167" t="s">
        <v>400</v>
      </c>
      <c r="S657" s="167" t="s">
        <v>633</v>
      </c>
      <c r="T657" s="167"/>
      <c r="U657" s="2"/>
      <c r="V657" s="2"/>
      <c r="Y657" s="2"/>
    </row>
    <row r="658" spans="1:25" ht="57.35">
      <c r="A658" s="167" t="s">
        <v>86</v>
      </c>
      <c r="B658" s="167" t="s">
        <v>511</v>
      </c>
      <c r="C658" s="167" t="s">
        <v>464</v>
      </c>
      <c r="D658" s="172">
        <f>18000000*'Dev Bank Share by Country'!$G$83</f>
        <v>570555.68306826486</v>
      </c>
      <c r="E658" s="173" t="s">
        <v>407</v>
      </c>
      <c r="F658" s="173" t="s">
        <v>407</v>
      </c>
      <c r="G658" s="262" t="s">
        <v>776</v>
      </c>
      <c r="H658" s="173" t="s">
        <v>408</v>
      </c>
      <c r="I658" s="180" t="s">
        <v>283</v>
      </c>
      <c r="J658" s="173" t="s">
        <v>409</v>
      </c>
      <c r="K658" s="241">
        <v>39254</v>
      </c>
      <c r="L658" s="173" t="s">
        <v>816</v>
      </c>
      <c r="M658" s="262"/>
      <c r="N658" s="256">
        <f>60/19</f>
        <v>3.1578947368421053</v>
      </c>
      <c r="O658" s="461">
        <f>CompletedProjects[[#This Row],[Power Plant Size (MW) or Share]]*0.593*9057*211.9*10^(-9)</f>
        <v>3.5939138902105262E-3</v>
      </c>
      <c r="P658" s="337">
        <f>CompletedProjects[[#This Row],[Annual Emissions (MMTCO2)]]*40</f>
        <v>0.14375655560842104</v>
      </c>
      <c r="Q658" s="167"/>
      <c r="R658" s="167" t="s">
        <v>636</v>
      </c>
      <c r="S658" s="167" t="s">
        <v>633</v>
      </c>
      <c r="T658" s="167"/>
      <c r="U658" s="2"/>
      <c r="V658" s="2"/>
      <c r="Y658" s="2"/>
    </row>
    <row r="659" spans="1:25" s="147" customFormat="1" ht="86">
      <c r="A659" s="167" t="s">
        <v>86</v>
      </c>
      <c r="B659" s="167" t="s">
        <v>512</v>
      </c>
      <c r="C659" s="167" t="s">
        <v>464</v>
      </c>
      <c r="D659" s="172">
        <f>7500000*'Dev Bank Share by Country'!$E$83</f>
        <v>171686.92974017162</v>
      </c>
      <c r="E659" s="173" t="s">
        <v>456</v>
      </c>
      <c r="F659" s="173" t="s">
        <v>457</v>
      </c>
      <c r="G659" s="262" t="s">
        <v>794</v>
      </c>
      <c r="H659" s="173" t="s">
        <v>458</v>
      </c>
      <c r="I659" s="180" t="s">
        <v>283</v>
      </c>
      <c r="J659" s="173" t="s">
        <v>26</v>
      </c>
      <c r="K659" s="241">
        <v>41627</v>
      </c>
      <c r="L659" s="173" t="s">
        <v>899</v>
      </c>
      <c r="M659" s="262"/>
      <c r="N659" s="256">
        <f>125/19</f>
        <v>6.5789473684210522</v>
      </c>
      <c r="O659" s="461">
        <f>CompletedProjects[[#This Row],[Power Plant Size (MW) or Share]]*0.593*9057*211.9*10^(-9)</f>
        <v>7.487320604605263E-3</v>
      </c>
      <c r="P659" s="337">
        <f>CompletedProjects[[#This Row],[Annual Emissions (MMTCO2)]]*40</f>
        <v>0.29949282418421053</v>
      </c>
      <c r="Q659" s="167"/>
      <c r="R659" s="167" t="s">
        <v>637</v>
      </c>
      <c r="S659" s="167" t="s">
        <v>633</v>
      </c>
      <c r="T659" s="167" t="s">
        <v>537</v>
      </c>
    </row>
    <row r="660" spans="1:25" s="232" customFormat="1" ht="100.35">
      <c r="A660" s="167" t="s">
        <v>86</v>
      </c>
      <c r="B660" s="167" t="s">
        <v>511</v>
      </c>
      <c r="C660" s="167" t="s">
        <v>464</v>
      </c>
      <c r="D660" s="172">
        <f>146970000*'Dev Bank Share by Country'!$G$83</f>
        <v>4658587.1522523826</v>
      </c>
      <c r="E660" s="173" t="s">
        <v>459</v>
      </c>
      <c r="F660" s="173" t="s">
        <v>460</v>
      </c>
      <c r="G660" s="262" t="s">
        <v>784</v>
      </c>
      <c r="H660" s="173" t="s">
        <v>239</v>
      </c>
      <c r="I660" s="180" t="s">
        <v>283</v>
      </c>
      <c r="J660" s="173" t="s">
        <v>26</v>
      </c>
      <c r="K660" s="241">
        <v>41701</v>
      </c>
      <c r="L660" s="173" t="s">
        <v>900</v>
      </c>
      <c r="M660" s="262"/>
      <c r="N660" s="256"/>
      <c r="O660" s="461">
        <f>CompletedProjects[[#This Row],[Power Plant Size (MW) or Share]]*0.593*9057*211.9*10^(-9)</f>
        <v>0</v>
      </c>
      <c r="P660" s="337">
        <f>CompletedProjects[[#This Row],[Annual Emissions (MMTCO2)]]*40</f>
        <v>0</v>
      </c>
      <c r="Q660" s="167"/>
      <c r="R660" s="167" t="s">
        <v>400</v>
      </c>
      <c r="S660" s="167" t="s">
        <v>465</v>
      </c>
      <c r="T660" s="167"/>
    </row>
    <row r="661" spans="1:25" s="232" customFormat="1" ht="28.7">
      <c r="A661" s="183" t="s">
        <v>86</v>
      </c>
      <c r="B661" s="183" t="s">
        <v>519</v>
      </c>
      <c r="C661" s="183" t="s">
        <v>464</v>
      </c>
      <c r="D661" s="172">
        <f>120000000*'Dev Bank Share by Country'!$K$83</f>
        <v>2170800</v>
      </c>
      <c r="E661" s="173" t="s">
        <v>533</v>
      </c>
      <c r="F661" s="173" t="s">
        <v>534</v>
      </c>
      <c r="G661" s="262"/>
      <c r="H661" s="173" t="s">
        <v>95</v>
      </c>
      <c r="I661" s="180" t="s">
        <v>283</v>
      </c>
      <c r="J661" s="173" t="s">
        <v>277</v>
      </c>
      <c r="K661" s="241">
        <v>40158</v>
      </c>
      <c r="L661" s="173" t="s">
        <v>535</v>
      </c>
      <c r="M661" s="262"/>
      <c r="N661" s="337">
        <f>200/13</f>
        <v>15.384615384615385</v>
      </c>
      <c r="O661" s="461">
        <f>CompletedProjects[[#This Row],[Power Plant Size (MW) or Share]]*0.593*9057*211.9*10^(-9)</f>
        <v>1.750881126E-2</v>
      </c>
      <c r="P661" s="337">
        <f>CompletedProjects[[#This Row],[Annual Emissions (MMTCO2)]]*40</f>
        <v>0.70035245040000005</v>
      </c>
      <c r="Q661" s="176"/>
      <c r="R661" s="178"/>
      <c r="S661" s="167"/>
      <c r="T661" s="178"/>
    </row>
    <row r="662" spans="1:25" s="232" customFormat="1" ht="129">
      <c r="A662" s="181" t="s">
        <v>86</v>
      </c>
      <c r="B662" s="182" t="s">
        <v>509</v>
      </c>
      <c r="C662" s="182" t="s">
        <v>464</v>
      </c>
      <c r="D662" s="172">
        <v>4846068.4576470628</v>
      </c>
      <c r="E662" s="173" t="s">
        <v>556</v>
      </c>
      <c r="F662" s="173" t="s">
        <v>555</v>
      </c>
      <c r="G662" s="262"/>
      <c r="H662" s="173" t="s">
        <v>554</v>
      </c>
      <c r="I662" s="180" t="s">
        <v>283</v>
      </c>
      <c r="J662" s="173" t="s">
        <v>26</v>
      </c>
      <c r="K662" s="240">
        <v>42064</v>
      </c>
      <c r="L662" s="173" t="s">
        <v>857</v>
      </c>
      <c r="M662" s="262" t="s">
        <v>858</v>
      </c>
      <c r="N662" s="337"/>
      <c r="O662" s="461">
        <f>CompletedProjects[[#This Row],[Power Plant Size (MW) or Share]]*0.593*9057*211.9*10^(-9)</f>
        <v>0</v>
      </c>
      <c r="P662" s="337">
        <f>CompletedProjects[[#This Row],[Annual Emissions (MMTCO2)]]*40</f>
        <v>0</v>
      </c>
      <c r="Q662" s="176"/>
      <c r="R662" s="178" t="s">
        <v>537</v>
      </c>
      <c r="S662" s="167"/>
      <c r="T662" s="178"/>
    </row>
    <row r="663" spans="1:25" s="232" customFormat="1" ht="43">
      <c r="A663" s="181" t="s">
        <v>86</v>
      </c>
      <c r="B663" s="182" t="s">
        <v>559</v>
      </c>
      <c r="C663" s="182" t="s">
        <v>464</v>
      </c>
      <c r="D663" s="172">
        <v>7574605.9476079065</v>
      </c>
      <c r="E663" s="173" t="s">
        <v>595</v>
      </c>
      <c r="F663" s="173" t="s">
        <v>594</v>
      </c>
      <c r="G663" s="262" t="s">
        <v>796</v>
      </c>
      <c r="H663" s="173" t="s">
        <v>45</v>
      </c>
      <c r="I663" s="180" t="s">
        <v>283</v>
      </c>
      <c r="J663" s="173" t="s">
        <v>277</v>
      </c>
      <c r="K663" s="240">
        <v>40032</v>
      </c>
      <c r="L663" s="173"/>
      <c r="M663" s="262"/>
      <c r="N663" s="338">
        <f>185/12</f>
        <v>15.416666666666666</v>
      </c>
      <c r="O663" s="461">
        <f>CompletedProjects[[#This Row],[Power Plant Size (MW) or Share]]*0.593*9057*211.9*10^(-9)</f>
        <v>1.7545287950124999E-2</v>
      </c>
      <c r="P663" s="337">
        <f>CompletedProjects[[#This Row],[Annual Emissions (MMTCO2)]]*40</f>
        <v>0.70181151800499997</v>
      </c>
      <c r="Q663" s="169"/>
      <c r="R663" s="185"/>
      <c r="S663" s="181"/>
      <c r="T663" s="185"/>
    </row>
    <row r="664" spans="1:25" s="232" customFormat="1" ht="215">
      <c r="A664" s="181" t="s">
        <v>86</v>
      </c>
      <c r="B664" s="182" t="s">
        <v>509</v>
      </c>
      <c r="C664" s="182" t="s">
        <v>464</v>
      </c>
      <c r="D664" s="172">
        <v>27259135.074264731</v>
      </c>
      <c r="E664" s="173" t="s">
        <v>41</v>
      </c>
      <c r="F664" s="173" t="s">
        <v>553</v>
      </c>
      <c r="G664" s="262" t="s">
        <v>788</v>
      </c>
      <c r="H664" s="173" t="s">
        <v>25</v>
      </c>
      <c r="I664" s="173" t="s">
        <v>284</v>
      </c>
      <c r="J664" s="173" t="s">
        <v>79</v>
      </c>
      <c r="K664" s="240">
        <v>42359</v>
      </c>
      <c r="L664" s="173" t="s">
        <v>1326</v>
      </c>
      <c r="M664" s="262" t="s">
        <v>861</v>
      </c>
      <c r="N664" s="337"/>
      <c r="O664" s="461">
        <f>CompletedProjects[[#This Row],[Power Plant Size (MW) or Share]]*0.593*9057*211.9*10^(-9)</f>
        <v>0</v>
      </c>
      <c r="P664" s="337">
        <f>CompletedProjects[[#This Row],[Annual Emissions (MMTCO2)]]*40</f>
        <v>0</v>
      </c>
      <c r="Q664" s="176"/>
      <c r="R664" s="178"/>
      <c r="S664" s="167"/>
      <c r="T664" s="178"/>
    </row>
    <row r="665" spans="1:25" s="30" customFormat="1" ht="114.7">
      <c r="A665" s="167" t="s">
        <v>86</v>
      </c>
      <c r="B665" s="167" t="s">
        <v>513</v>
      </c>
      <c r="C665" s="167" t="s">
        <v>464</v>
      </c>
      <c r="D665" s="172">
        <f>3040000000*'Dev Bank Share by Country'!$C$83</f>
        <v>79040000</v>
      </c>
      <c r="E665" s="173" t="s">
        <v>41</v>
      </c>
      <c r="F665" s="173" t="s">
        <v>432</v>
      </c>
      <c r="G665" s="262" t="s">
        <v>773</v>
      </c>
      <c r="H665" s="173" t="s">
        <v>25</v>
      </c>
      <c r="I665" s="180" t="s">
        <v>283</v>
      </c>
      <c r="J665" s="173" t="s">
        <v>26</v>
      </c>
      <c r="K665" s="241">
        <v>40276</v>
      </c>
      <c r="L665" s="173" t="s">
        <v>923</v>
      </c>
      <c r="M665" s="273"/>
      <c r="N665" s="337">
        <f>4800/19/2</f>
        <v>126.31578947368421</v>
      </c>
      <c r="O665" s="461">
        <f>CompletedProjects[[#This Row],[Power Plant Size (MW) or Share]]*0.593*9057*211.9*10^(-9)</f>
        <v>0.14375655560842107</v>
      </c>
      <c r="P665" s="337">
        <f>CompletedProjects[[#This Row],[Annual Emissions (MMTCO2)]]*40</f>
        <v>5.7502622243368426</v>
      </c>
      <c r="Q665" s="167"/>
      <c r="R665" s="178" t="s">
        <v>643</v>
      </c>
      <c r="S665" s="167" t="s">
        <v>465</v>
      </c>
      <c r="T665" s="178"/>
    </row>
    <row r="666" spans="1:25" s="30" customFormat="1" ht="43">
      <c r="A666" s="181" t="s">
        <v>86</v>
      </c>
      <c r="B666" s="182" t="s">
        <v>559</v>
      </c>
      <c r="C666" s="182" t="s">
        <v>464</v>
      </c>
      <c r="D666" s="172">
        <v>1711108.4400680675</v>
      </c>
      <c r="E666" s="173" t="s">
        <v>592</v>
      </c>
      <c r="F666" s="173" t="s">
        <v>593</v>
      </c>
      <c r="G666" s="262" t="s">
        <v>795</v>
      </c>
      <c r="H666" s="173" t="s">
        <v>201</v>
      </c>
      <c r="I666" s="173" t="s">
        <v>40</v>
      </c>
      <c r="J666" s="173" t="s">
        <v>40</v>
      </c>
      <c r="K666" s="240">
        <v>39854</v>
      </c>
      <c r="L666" s="183" t="s">
        <v>1689</v>
      </c>
      <c r="M666" s="262"/>
      <c r="N666" s="337"/>
      <c r="O666" s="461">
        <f>CompletedProjects[[#This Row],[Power Plant Size (MW) or Share]]*0.593*9057*211.9*10^(-9)</f>
        <v>0</v>
      </c>
      <c r="P666" s="337">
        <f>CompletedProjects[[#This Row],[Annual Emissions (MMTCO2)]]*40</f>
        <v>0</v>
      </c>
      <c r="Q666" s="176"/>
      <c r="R666" s="173" t="s">
        <v>907</v>
      </c>
      <c r="S666" s="167"/>
      <c r="T666" s="173"/>
    </row>
    <row r="667" spans="1:25" s="283" customFormat="1" ht="100.35">
      <c r="A667" s="167" t="s">
        <v>86</v>
      </c>
      <c r="B667" s="167" t="s">
        <v>513</v>
      </c>
      <c r="C667" s="167" t="s">
        <v>464</v>
      </c>
      <c r="D667" s="172">
        <f>379060000*'Dev Bank Share by Country'!$C$83</f>
        <v>9855560</v>
      </c>
      <c r="E667" s="173" t="s">
        <v>429</v>
      </c>
      <c r="F667" s="173" t="s">
        <v>430</v>
      </c>
      <c r="G667" s="262" t="s">
        <v>779</v>
      </c>
      <c r="H667" s="173" t="s">
        <v>431</v>
      </c>
      <c r="I667" s="180" t="s">
        <v>283</v>
      </c>
      <c r="J667" s="173" t="s">
        <v>26</v>
      </c>
      <c r="K667" s="241">
        <v>40115</v>
      </c>
      <c r="L667" s="173" t="s">
        <v>922</v>
      </c>
      <c r="M667" s="262"/>
      <c r="N667" s="337">
        <f>600/19/2</f>
        <v>15.789473684210526</v>
      </c>
      <c r="O667" s="461">
        <f>CompletedProjects[[#This Row],[Power Plant Size (MW) or Share]]*0.593*9057*211.9*10^(-9)</f>
        <v>1.7969569451052634E-2</v>
      </c>
      <c r="P667" s="337">
        <f>CompletedProjects[[#This Row],[Annual Emissions (MMTCO2)]]*40</f>
        <v>0.71878277804210533</v>
      </c>
      <c r="Q667" s="167"/>
      <c r="R667" s="178" t="s">
        <v>640</v>
      </c>
      <c r="S667" s="167" t="s">
        <v>633</v>
      </c>
      <c r="T667" s="178"/>
    </row>
    <row r="668" spans="1:25" s="232" customFormat="1" ht="172">
      <c r="A668" s="167" t="s">
        <v>86</v>
      </c>
      <c r="B668" s="167" t="s">
        <v>512</v>
      </c>
      <c r="C668" s="167" t="s">
        <v>464</v>
      </c>
      <c r="D668" s="172">
        <f>12100000*'Dev Bank Share by Country'!$E$83</f>
        <v>276988.24664747686</v>
      </c>
      <c r="E668" s="173" t="s">
        <v>451</v>
      </c>
      <c r="F668" s="173" t="s">
        <v>452</v>
      </c>
      <c r="G668" s="262" t="s">
        <v>793</v>
      </c>
      <c r="H668" s="173" t="s">
        <v>453</v>
      </c>
      <c r="I668" s="173" t="s">
        <v>284</v>
      </c>
      <c r="J668" s="173" t="s">
        <v>1498</v>
      </c>
      <c r="K668" s="241">
        <v>41471</v>
      </c>
      <c r="L668" s="173" t="s">
        <v>926</v>
      </c>
      <c r="M668" s="262" t="s">
        <v>898</v>
      </c>
      <c r="N668" s="256"/>
      <c r="O668" s="461">
        <f>CompletedProjects[[#This Row],[Power Plant Size (MW) or Share]]*0.593*9057*211.9*10^(-9)</f>
        <v>0</v>
      </c>
      <c r="P668" s="337">
        <f>CompletedProjects[[#This Row],[Annual Emissions (MMTCO2)]]*40</f>
        <v>0</v>
      </c>
      <c r="Q668" s="167"/>
      <c r="R668" s="167" t="s">
        <v>400</v>
      </c>
      <c r="S668" s="167" t="s">
        <v>633</v>
      </c>
      <c r="T668" s="167" t="s">
        <v>537</v>
      </c>
    </row>
    <row r="669" spans="1:25" s="232" customFormat="1" ht="86">
      <c r="A669" s="167" t="s">
        <v>86</v>
      </c>
      <c r="B669" s="171" t="s">
        <v>76</v>
      </c>
      <c r="C669" s="171" t="s">
        <v>336</v>
      </c>
      <c r="D669" s="321">
        <v>632000000</v>
      </c>
      <c r="E669" s="171" t="s">
        <v>35</v>
      </c>
      <c r="F669" s="173" t="s">
        <v>311</v>
      </c>
      <c r="G669" s="262" t="s">
        <v>764</v>
      </c>
      <c r="H669" s="173" t="s">
        <v>312</v>
      </c>
      <c r="I669" s="180" t="s">
        <v>283</v>
      </c>
      <c r="J669" s="173" t="s">
        <v>26</v>
      </c>
      <c r="K669" s="240">
        <v>42005</v>
      </c>
      <c r="L669" s="173" t="s">
        <v>822</v>
      </c>
      <c r="M669" s="262" t="s">
        <v>313</v>
      </c>
      <c r="N669" s="337">
        <v>752</v>
      </c>
      <c r="O669" s="461">
        <f>CompletedProjects[[#This Row],[Power Plant Size (MW) or Share]]*0.593*9057*211.9*10^(-9)</f>
        <v>0.85583069438880011</v>
      </c>
      <c r="P669" s="337">
        <f>CompletedProjects[[#This Row],[Annual Emissions (MMTCO2)]]*40</f>
        <v>34.233227775552002</v>
      </c>
      <c r="Q669" s="176"/>
      <c r="R669" s="178"/>
      <c r="S669" s="167"/>
      <c r="T669" s="178"/>
    </row>
    <row r="670" spans="1:25" s="232" customFormat="1" ht="215">
      <c r="A670" s="167" t="s">
        <v>86</v>
      </c>
      <c r="B670" s="167" t="s">
        <v>445</v>
      </c>
      <c r="C670" s="167" t="s">
        <v>464</v>
      </c>
      <c r="D670" s="172">
        <f>28000000*'Dev Bank Share by Country'!G83</f>
        <v>887531.06255063426</v>
      </c>
      <c r="E670" s="173" t="s">
        <v>446</v>
      </c>
      <c r="F670" s="173" t="s">
        <v>447</v>
      </c>
      <c r="G670" s="262" t="s">
        <v>782</v>
      </c>
      <c r="H670" s="173" t="s">
        <v>201</v>
      </c>
      <c r="I670" s="173" t="s">
        <v>284</v>
      </c>
      <c r="J670" s="173" t="s">
        <v>1498</v>
      </c>
      <c r="K670" s="241">
        <v>41333</v>
      </c>
      <c r="L670" s="173" t="s">
        <v>832</v>
      </c>
      <c r="M670" s="262"/>
      <c r="N670" s="256">
        <f>750/19</f>
        <v>39.473684210526315</v>
      </c>
      <c r="O670" s="461">
        <f>CompletedProjects[[#This Row],[Power Plant Size (MW) or Share]]*0.593*9057*211.9*10^(-9)</f>
        <v>4.4923923627631576E-2</v>
      </c>
      <c r="P670" s="337">
        <f>CompletedProjects[[#This Row],[Annual Emissions (MMTCO2)]]*40</f>
        <v>1.7969569451052632</v>
      </c>
      <c r="Q670" s="167"/>
      <c r="R670" s="167" t="s">
        <v>639</v>
      </c>
      <c r="S670" s="167"/>
      <c r="T670" s="167"/>
    </row>
    <row r="671" spans="1:25" s="232" customFormat="1" ht="86">
      <c r="A671" s="167" t="s">
        <v>86</v>
      </c>
      <c r="B671" s="167" t="s">
        <v>511</v>
      </c>
      <c r="C671" s="167" t="s">
        <v>464</v>
      </c>
      <c r="D671" s="172">
        <f>45500000*'Dev Bank Share by Country'!$G$83</f>
        <v>1442237.9766447807</v>
      </c>
      <c r="E671" s="173" t="s">
        <v>440</v>
      </c>
      <c r="F671" s="173" t="s">
        <v>441</v>
      </c>
      <c r="G671" s="262" t="s">
        <v>771</v>
      </c>
      <c r="H671" s="173" t="s">
        <v>442</v>
      </c>
      <c r="I671" s="173" t="s">
        <v>40</v>
      </c>
      <c r="J671" s="173" t="s">
        <v>443</v>
      </c>
      <c r="K671" s="241">
        <v>41060</v>
      </c>
      <c r="L671" s="173" t="s">
        <v>924</v>
      </c>
      <c r="M671" s="273"/>
      <c r="N671" s="256"/>
      <c r="O671" s="461">
        <f>CompletedProjects[[#This Row],[Power Plant Size (MW) or Share]]*0.593*9057*211.9*10^(-9)</f>
        <v>0</v>
      </c>
      <c r="P671" s="337">
        <f>CompletedProjects[[#This Row],[Annual Emissions (MMTCO2)]]*40</f>
        <v>0</v>
      </c>
      <c r="Q671" s="167"/>
      <c r="R671" s="167" t="s">
        <v>400</v>
      </c>
      <c r="S671" s="167" t="s">
        <v>465</v>
      </c>
      <c r="T671" s="167"/>
    </row>
    <row r="672" spans="1:25" s="232" customFormat="1" ht="215">
      <c r="A672" s="167" t="s">
        <v>86</v>
      </c>
      <c r="B672" s="167" t="s">
        <v>512</v>
      </c>
      <c r="C672" s="167" t="s">
        <v>464</v>
      </c>
      <c r="D672" s="172">
        <f>200000000*'Dev Bank Share by Country'!$E$83</f>
        <v>4578318.126404576</v>
      </c>
      <c r="E672" s="173" t="s">
        <v>461</v>
      </c>
      <c r="F672" s="173" t="s">
        <v>462</v>
      </c>
      <c r="G672" s="262" t="s">
        <v>795</v>
      </c>
      <c r="H672" s="173" t="s">
        <v>442</v>
      </c>
      <c r="I672" s="173" t="s">
        <v>284</v>
      </c>
      <c r="J672" s="173" t="s">
        <v>1498</v>
      </c>
      <c r="K672" s="241">
        <v>41760</v>
      </c>
      <c r="L672" s="173" t="s">
        <v>831</v>
      </c>
      <c r="M672" s="262" t="s">
        <v>830</v>
      </c>
      <c r="N672" s="256"/>
      <c r="O672" s="461">
        <f>CompletedProjects[[#This Row],[Power Plant Size (MW) or Share]]*0.593*9057*211.9*10^(-9)</f>
        <v>0</v>
      </c>
      <c r="P672" s="337">
        <f>CompletedProjects[[#This Row],[Annual Emissions (MMTCO2)]]*40</f>
        <v>0</v>
      </c>
      <c r="Q672" s="167"/>
      <c r="R672" s="167" t="s">
        <v>400</v>
      </c>
      <c r="S672" s="167" t="s">
        <v>465</v>
      </c>
      <c r="T672" s="167"/>
    </row>
    <row r="673" spans="1:25" s="233" customFormat="1" ht="114.7">
      <c r="A673" s="167" t="s">
        <v>86</v>
      </c>
      <c r="B673" s="167" t="s">
        <v>512</v>
      </c>
      <c r="C673" s="167" t="s">
        <v>464</v>
      </c>
      <c r="D673" s="172">
        <f>280000*'Dev Bank Share by Country'!$E$83</f>
        <v>6409.6453769664067</v>
      </c>
      <c r="E673" s="173" t="s">
        <v>437</v>
      </c>
      <c r="F673" s="173" t="s">
        <v>438</v>
      </c>
      <c r="G673" s="262" t="s">
        <v>790</v>
      </c>
      <c r="H673" s="173" t="s">
        <v>439</v>
      </c>
      <c r="I673" s="173" t="s">
        <v>284</v>
      </c>
      <c r="J673" s="173" t="s">
        <v>1498</v>
      </c>
      <c r="K673" s="241">
        <v>41039</v>
      </c>
      <c r="L673" s="173" t="s">
        <v>897</v>
      </c>
      <c r="M673" s="273" t="s">
        <v>780</v>
      </c>
      <c r="N673" s="256"/>
      <c r="O673" s="461">
        <f>CompletedProjects[[#This Row],[Power Plant Size (MW) or Share]]*0.593*9057*211.9*10^(-9)</f>
        <v>0</v>
      </c>
      <c r="P673" s="337">
        <f>CompletedProjects[[#This Row],[Annual Emissions (MMTCO2)]]*40</f>
        <v>0</v>
      </c>
      <c r="Q673" s="167"/>
      <c r="R673" s="167" t="s">
        <v>400</v>
      </c>
      <c r="S673" s="167" t="s">
        <v>465</v>
      </c>
      <c r="T673" s="167"/>
    </row>
    <row r="674" spans="1:25" s="232" customFormat="1" ht="43">
      <c r="A674" s="173" t="s">
        <v>86</v>
      </c>
      <c r="B674" s="173" t="s">
        <v>519</v>
      </c>
      <c r="C674" s="173" t="s">
        <v>464</v>
      </c>
      <c r="D674" s="172">
        <f>135000000*'Dev Bank Share by Country'!$K$83</f>
        <v>2442150</v>
      </c>
      <c r="E674" s="173" t="s">
        <v>531</v>
      </c>
      <c r="F674" s="173" t="s">
        <v>538</v>
      </c>
      <c r="G674" s="262"/>
      <c r="H674" s="173" t="s">
        <v>239</v>
      </c>
      <c r="I674" s="180" t="s">
        <v>283</v>
      </c>
      <c r="J674" s="173" t="s">
        <v>26</v>
      </c>
      <c r="K674" s="241">
        <v>40217</v>
      </c>
      <c r="L674" s="173" t="s">
        <v>539</v>
      </c>
      <c r="M674" s="262"/>
      <c r="N674" s="337">
        <f>250/13</f>
        <v>19.23076923076923</v>
      </c>
      <c r="O674" s="461">
        <f>CompletedProjects[[#This Row],[Power Plant Size (MW) or Share]]*0.593*9057*211.9*10^(-9)</f>
        <v>2.1886014075000002E-2</v>
      </c>
      <c r="P674" s="337">
        <f>CompletedProjects[[#This Row],[Annual Emissions (MMTCO2)]]*40</f>
        <v>0.87544056300000006</v>
      </c>
      <c r="Q674" s="176"/>
      <c r="R674" s="178" t="s">
        <v>540</v>
      </c>
      <c r="S674" s="167"/>
      <c r="T674" s="178"/>
    </row>
    <row r="675" spans="1:25" s="232" customFormat="1" ht="43">
      <c r="A675" s="181" t="s">
        <v>86</v>
      </c>
      <c r="B675" s="182" t="s">
        <v>559</v>
      </c>
      <c r="C675" s="182" t="s">
        <v>464</v>
      </c>
      <c r="D675" s="172">
        <v>3109330.6907461486</v>
      </c>
      <c r="E675" s="173" t="s">
        <v>608</v>
      </c>
      <c r="F675" s="173" t="s">
        <v>609</v>
      </c>
      <c r="G675" s="262" t="s">
        <v>803</v>
      </c>
      <c r="H675" s="173" t="s">
        <v>368</v>
      </c>
      <c r="I675" s="180" t="s">
        <v>284</v>
      </c>
      <c r="J675" s="180" t="s">
        <v>284</v>
      </c>
      <c r="K675" s="240">
        <v>40869</v>
      </c>
      <c r="L675" s="173" t="s">
        <v>1694</v>
      </c>
      <c r="M675" s="262"/>
      <c r="N675" s="337"/>
      <c r="O675" s="461">
        <f>CompletedProjects[[#This Row],[Power Plant Size (MW) or Share]]*0.593*9057*211.9*10^(-9)</f>
        <v>0</v>
      </c>
      <c r="P675" s="337">
        <f>CompletedProjects[[#This Row],[Annual Emissions (MMTCO2)]]*40</f>
        <v>0</v>
      </c>
      <c r="Q675" s="176"/>
      <c r="R675" s="178"/>
      <c r="S675" s="167"/>
      <c r="T675" s="178"/>
    </row>
    <row r="676" spans="1:25" s="232" customFormat="1" ht="57.35">
      <c r="A676" s="167" t="s">
        <v>86</v>
      </c>
      <c r="B676" s="182" t="s">
        <v>559</v>
      </c>
      <c r="C676" s="182" t="s">
        <v>464</v>
      </c>
      <c r="D676" s="172">
        <v>2616444.1960649067</v>
      </c>
      <c r="E676" s="173" t="s">
        <v>596</v>
      </c>
      <c r="F676" s="173" t="s">
        <v>597</v>
      </c>
      <c r="G676" s="262" t="s">
        <v>797</v>
      </c>
      <c r="H676" s="173" t="s">
        <v>493</v>
      </c>
      <c r="I676" s="180" t="s">
        <v>283</v>
      </c>
      <c r="J676" s="173" t="s">
        <v>277</v>
      </c>
      <c r="K676" s="240">
        <v>40052</v>
      </c>
      <c r="L676" s="269" t="s">
        <v>1690</v>
      </c>
      <c r="M676" s="262" t="s">
        <v>903</v>
      </c>
      <c r="N676" s="337"/>
      <c r="O676" s="461">
        <f>CompletedProjects[[#This Row],[Power Plant Size (MW) or Share]]*0.593*9057*211.9*10^(-9)</f>
        <v>0</v>
      </c>
      <c r="P676" s="337">
        <f>CompletedProjects[[#This Row],[Annual Emissions (MMTCO2)]]*40</f>
        <v>0</v>
      </c>
      <c r="Q676" s="176"/>
      <c r="R676" s="178"/>
      <c r="S676" s="167"/>
      <c r="T676" s="178"/>
    </row>
    <row r="677" spans="1:25" s="232" customFormat="1" ht="172">
      <c r="A677" s="167" t="s">
        <v>86</v>
      </c>
      <c r="B677" s="167" t="s">
        <v>513</v>
      </c>
      <c r="C677" s="167" t="s">
        <v>464</v>
      </c>
      <c r="D677" s="172">
        <f>57000000*'Dev Bank Share by Country'!$C$83</f>
        <v>1482000</v>
      </c>
      <c r="E677" s="173" t="s">
        <v>415</v>
      </c>
      <c r="F677" s="173" t="s">
        <v>416</v>
      </c>
      <c r="G677" s="262" t="s">
        <v>772</v>
      </c>
      <c r="H677" s="173" t="s">
        <v>368</v>
      </c>
      <c r="I677" s="173" t="s">
        <v>40</v>
      </c>
      <c r="J677" s="173" t="s">
        <v>417</v>
      </c>
      <c r="K677" s="241">
        <v>39436</v>
      </c>
      <c r="L677" s="173" t="s">
        <v>918</v>
      </c>
      <c r="M677" s="273" t="s">
        <v>895</v>
      </c>
      <c r="N677" s="256"/>
      <c r="O677" s="461">
        <f>CompletedProjects[[#This Row],[Power Plant Size (MW) or Share]]*0.593*9057*211.9*10^(-9)</f>
        <v>0</v>
      </c>
      <c r="P677" s="337">
        <f>CompletedProjects[[#This Row],[Annual Emissions (MMTCO2)]]*40</f>
        <v>0</v>
      </c>
      <c r="Q677" s="167"/>
      <c r="R677" s="167" t="s">
        <v>400</v>
      </c>
      <c r="S677" s="167" t="s">
        <v>633</v>
      </c>
      <c r="T677" s="167"/>
    </row>
    <row r="678" spans="1:25" s="232" customFormat="1" ht="172">
      <c r="A678" s="167" t="s">
        <v>160</v>
      </c>
      <c r="B678" s="167" t="s">
        <v>511</v>
      </c>
      <c r="C678" s="167" t="s">
        <v>464</v>
      </c>
      <c r="D678" s="172">
        <f>500000000*'Dev Bank Share by Country'!$G$85</f>
        <v>31668311.77545882</v>
      </c>
      <c r="E678" s="173" t="s">
        <v>454</v>
      </c>
      <c r="F678" s="173" t="s">
        <v>514</v>
      </c>
      <c r="G678" s="262" t="s">
        <v>783</v>
      </c>
      <c r="H678" s="183" t="s">
        <v>515</v>
      </c>
      <c r="I678" s="180" t="s">
        <v>283</v>
      </c>
      <c r="J678" s="173" t="s">
        <v>26</v>
      </c>
      <c r="K678" s="241">
        <v>41760</v>
      </c>
      <c r="L678" s="173" t="s">
        <v>833</v>
      </c>
      <c r="M678" s="262"/>
      <c r="N678" s="256">
        <f>(270+450)/19</f>
        <v>37.89473684210526</v>
      </c>
      <c r="O678" s="461">
        <f>CompletedProjects[[#This Row],[Power Plant Size (MW) or Share]]*0.593*9057*211.9*10^(-9)</f>
        <v>4.3126966682526316E-2</v>
      </c>
      <c r="P678" s="337">
        <f>CompletedProjects[[#This Row],[Annual Emissions (MMTCO2)]]*40</f>
        <v>1.7250786673010525</v>
      </c>
      <c r="Q678" s="167"/>
      <c r="R678" s="167" t="s">
        <v>639</v>
      </c>
      <c r="S678" s="167" t="s">
        <v>465</v>
      </c>
      <c r="T678" s="167"/>
    </row>
    <row r="679" spans="1:25" s="232" customFormat="1" ht="172">
      <c r="A679" s="167" t="s">
        <v>160</v>
      </c>
      <c r="B679" s="167" t="s">
        <v>401</v>
      </c>
      <c r="C679" s="167" t="s">
        <v>464</v>
      </c>
      <c r="D679" s="172">
        <f>1120000*'Dev Bank Share by Country'!$E$85</f>
        <v>94864.377842685251</v>
      </c>
      <c r="E679" s="173" t="s">
        <v>402</v>
      </c>
      <c r="F679" s="173" t="s">
        <v>403</v>
      </c>
      <c r="G679" s="262" t="s">
        <v>785</v>
      </c>
      <c r="H679" s="173" t="s">
        <v>404</v>
      </c>
      <c r="I679" s="173" t="s">
        <v>284</v>
      </c>
      <c r="J679" s="173" t="s">
        <v>1498</v>
      </c>
      <c r="K679" s="241">
        <v>39224</v>
      </c>
      <c r="L679" s="173" t="s">
        <v>826</v>
      </c>
      <c r="M679" s="262" t="s">
        <v>785</v>
      </c>
      <c r="N679" s="256"/>
      <c r="O679" s="461">
        <f>CompletedProjects[[#This Row],[Power Plant Size (MW) or Share]]*0.593*9057*211.9*10^(-9)</f>
        <v>0</v>
      </c>
      <c r="P679" s="337">
        <f>CompletedProjects[[#This Row],[Annual Emissions (MMTCO2)]]*40</f>
        <v>0</v>
      </c>
      <c r="Q679" s="167"/>
      <c r="R679" s="167" t="s">
        <v>400</v>
      </c>
      <c r="S679" s="167" t="s">
        <v>633</v>
      </c>
      <c r="T679" s="167" t="s">
        <v>537</v>
      </c>
    </row>
    <row r="680" spans="1:25" s="232" customFormat="1" ht="172">
      <c r="A680" s="167" t="s">
        <v>160</v>
      </c>
      <c r="B680" s="167" t="s">
        <v>512</v>
      </c>
      <c r="C680" s="167" t="s">
        <v>464</v>
      </c>
      <c r="D680" s="172">
        <f>4200000*'Dev Bank Share by Country'!$E$85</f>
        <v>355741.41691006965</v>
      </c>
      <c r="E680" s="173" t="s">
        <v>448</v>
      </c>
      <c r="F680" s="173" t="s">
        <v>449</v>
      </c>
      <c r="G680" s="262" t="s">
        <v>792</v>
      </c>
      <c r="H680" s="173" t="s">
        <v>450</v>
      </c>
      <c r="I680" s="173" t="s">
        <v>40</v>
      </c>
      <c r="J680" s="173" t="s">
        <v>1502</v>
      </c>
      <c r="K680" s="241">
        <v>41404</v>
      </c>
      <c r="L680" s="173" t="s">
        <v>925</v>
      </c>
      <c r="M680" s="262"/>
      <c r="N680" s="256"/>
      <c r="O680" s="461">
        <f>CompletedProjects[[#This Row],[Power Plant Size (MW) or Share]]*0.593*9057*211.9*10^(-9)</f>
        <v>0</v>
      </c>
      <c r="P680" s="337">
        <f>CompletedProjects[[#This Row],[Annual Emissions (MMTCO2)]]*40</f>
        <v>0</v>
      </c>
      <c r="Q680" s="167"/>
      <c r="R680" s="167" t="s">
        <v>400</v>
      </c>
      <c r="S680" s="167" t="s">
        <v>465</v>
      </c>
      <c r="T680" s="167"/>
    </row>
    <row r="681" spans="1:25" s="147" customFormat="1" ht="100.35">
      <c r="A681" s="167" t="s">
        <v>160</v>
      </c>
      <c r="B681" s="167" t="s">
        <v>511</v>
      </c>
      <c r="C681" s="167" t="s">
        <v>464</v>
      </c>
      <c r="D681" s="172">
        <v>1467500</v>
      </c>
      <c r="E681" s="173" t="s">
        <v>398</v>
      </c>
      <c r="F681" s="173" t="s">
        <v>398</v>
      </c>
      <c r="G681" s="262" t="s">
        <v>787</v>
      </c>
      <c r="H681" s="173" t="s">
        <v>399</v>
      </c>
      <c r="I681" s="180" t="s">
        <v>283</v>
      </c>
      <c r="J681" s="173" t="s">
        <v>26</v>
      </c>
      <c r="K681" s="241">
        <v>39204</v>
      </c>
      <c r="L681" s="173" t="s">
        <v>915</v>
      </c>
      <c r="M681" s="262"/>
      <c r="N681" s="256">
        <f>30/20</f>
        <v>1.5</v>
      </c>
      <c r="O681" s="461">
        <f>CompletedProjects[[#This Row],[Power Plant Size (MW) or Share]]*0.593*9057*211.9*10^(-9)</f>
        <v>1.7071090978499999E-3</v>
      </c>
      <c r="P681" s="337">
        <f>CompletedProjects[[#This Row],[Annual Emissions (MMTCO2)]]*40</f>
        <v>6.8284363914000001E-2</v>
      </c>
      <c r="Q681" s="167"/>
      <c r="R681" s="167" t="s">
        <v>635</v>
      </c>
      <c r="S681" s="167" t="s">
        <v>465</v>
      </c>
      <c r="T681" s="167"/>
    </row>
    <row r="682" spans="1:25" ht="71.7">
      <c r="A682" s="301" t="s">
        <v>160</v>
      </c>
      <c r="B682" s="302" t="s">
        <v>519</v>
      </c>
      <c r="C682" s="302" t="s">
        <v>464</v>
      </c>
      <c r="D682" s="172">
        <v>1000000</v>
      </c>
      <c r="E682" s="303"/>
      <c r="F682" s="303" t="s">
        <v>1618</v>
      </c>
      <c r="G682" s="304" t="s">
        <v>1617</v>
      </c>
      <c r="H682" s="303" t="s">
        <v>63</v>
      </c>
      <c r="I682" s="173" t="s">
        <v>283</v>
      </c>
      <c r="J682" s="173" t="s">
        <v>26</v>
      </c>
      <c r="K682" s="241">
        <v>39417</v>
      </c>
      <c r="L682" s="300" t="s">
        <v>1616</v>
      </c>
      <c r="M682" s="456"/>
      <c r="N682" s="459"/>
      <c r="O682" s="459"/>
      <c r="P682" s="459"/>
      <c r="Q682" s="299"/>
      <c r="R682" s="299"/>
      <c r="S682" s="299"/>
      <c r="T682" s="299"/>
      <c r="U682" s="2"/>
      <c r="V682" s="2"/>
      <c r="Y682" s="2"/>
    </row>
    <row r="683" spans="1:25" ht="57.35">
      <c r="A683" s="181" t="s">
        <v>160</v>
      </c>
      <c r="B683" s="182" t="s">
        <v>559</v>
      </c>
      <c r="C683" s="182" t="s">
        <v>464</v>
      </c>
      <c r="D683" s="172">
        <v>9710756.8398277741</v>
      </c>
      <c r="E683" s="173" t="s">
        <v>592</v>
      </c>
      <c r="F683" s="173" t="s">
        <v>599</v>
      </c>
      <c r="G683" s="262" t="s">
        <v>799</v>
      </c>
      <c r="H683" s="173" t="s">
        <v>201</v>
      </c>
      <c r="I683" s="173" t="s">
        <v>40</v>
      </c>
      <c r="J683" s="173" t="s">
        <v>40</v>
      </c>
      <c r="K683" s="240">
        <v>40310</v>
      </c>
      <c r="L683" s="173" t="s">
        <v>1692</v>
      </c>
      <c r="M683" s="262" t="s">
        <v>908</v>
      </c>
      <c r="N683" s="337"/>
      <c r="O683" s="461">
        <f>CompletedProjects[[#This Row],[Power Plant Size (MW) or Share]]*0.593*9057*211.9*10^(-9)</f>
        <v>0</v>
      </c>
      <c r="P683" s="337">
        <f>CompletedProjects[[#This Row],[Annual Emissions (MMTCO2)]]*40</f>
        <v>0</v>
      </c>
      <c r="Q683" s="176">
        <v>0.3</v>
      </c>
      <c r="R683" s="178"/>
      <c r="S683" s="167"/>
      <c r="T683" s="178"/>
      <c r="U683" s="2"/>
      <c r="V683" s="2"/>
      <c r="Y683" s="2"/>
    </row>
    <row r="684" spans="1:25" ht="57.35">
      <c r="A684" s="167" t="s">
        <v>160</v>
      </c>
      <c r="B684" s="171" t="s">
        <v>161</v>
      </c>
      <c r="C684" s="171" t="s">
        <v>336</v>
      </c>
      <c r="D684" s="172">
        <v>288766965</v>
      </c>
      <c r="E684" s="173" t="s">
        <v>41</v>
      </c>
      <c r="F684" s="173" t="s">
        <v>162</v>
      </c>
      <c r="G684" s="262" t="s">
        <v>753</v>
      </c>
      <c r="H684" s="173" t="s">
        <v>25</v>
      </c>
      <c r="I684" s="173" t="s">
        <v>284</v>
      </c>
      <c r="J684" s="173" t="s">
        <v>1501</v>
      </c>
      <c r="K684" s="241">
        <v>39143</v>
      </c>
      <c r="L684" s="173"/>
      <c r="M684" s="262"/>
      <c r="N684" s="337"/>
      <c r="O684" s="461">
        <f>CompletedProjects[[#This Row],[Power Plant Size (MW) or Share]]*0.593*9057*211.9*10^(-9)</f>
        <v>0</v>
      </c>
      <c r="P684" s="337">
        <f>CompletedProjects[[#This Row],[Annual Emissions (MMTCO2)]]*40</f>
        <v>0</v>
      </c>
      <c r="Q684" s="176"/>
      <c r="R684" s="178"/>
      <c r="S684" s="167"/>
      <c r="T684" s="178"/>
      <c r="U684" s="2"/>
      <c r="V684" s="2"/>
      <c r="Y684" s="2"/>
    </row>
    <row r="685" spans="1:25" ht="114.7">
      <c r="A685" s="167" t="s">
        <v>160</v>
      </c>
      <c r="B685" s="171" t="s">
        <v>559</v>
      </c>
      <c r="C685" s="171" t="s">
        <v>464</v>
      </c>
      <c r="D685" s="172">
        <v>9236071.0366749614</v>
      </c>
      <c r="E685" s="173" t="s">
        <v>606</v>
      </c>
      <c r="F685" s="173" t="s">
        <v>607</v>
      </c>
      <c r="G685" s="262" t="s">
        <v>730</v>
      </c>
      <c r="H685" s="173" t="s">
        <v>56</v>
      </c>
      <c r="I685" s="173" t="s">
        <v>40</v>
      </c>
      <c r="J685" s="173" t="s">
        <v>40</v>
      </c>
      <c r="K685" s="240">
        <v>40750</v>
      </c>
      <c r="L685" s="173" t="s">
        <v>1696</v>
      </c>
      <c r="M685" s="262" t="s">
        <v>912</v>
      </c>
      <c r="N685" s="337"/>
      <c r="O685" s="461">
        <f>CompletedProjects[[#This Row],[Power Plant Size (MW) or Share]]*0.593*9057*211.9*10^(-9)</f>
        <v>0</v>
      </c>
      <c r="P685" s="337">
        <f>CompletedProjects[[#This Row],[Annual Emissions (MMTCO2)]]*40</f>
        <v>0</v>
      </c>
      <c r="Q685" s="176"/>
      <c r="R685" s="178"/>
      <c r="S685" s="167"/>
      <c r="T685" s="178"/>
      <c r="U685" s="2"/>
      <c r="V685" s="2"/>
      <c r="Y685" s="2"/>
    </row>
    <row r="686" spans="1:25" ht="71.7">
      <c r="A686" s="167" t="s">
        <v>160</v>
      </c>
      <c r="B686" s="186" t="s">
        <v>519</v>
      </c>
      <c r="C686" s="186" t="s">
        <v>464</v>
      </c>
      <c r="D686" s="172">
        <f>500000*'Dev Bank Share by Country'!$K$85</f>
        <v>78210</v>
      </c>
      <c r="E686" s="173" t="s">
        <v>531</v>
      </c>
      <c r="F686" s="173" t="s">
        <v>532</v>
      </c>
      <c r="G686" s="262"/>
      <c r="H686" s="173" t="s">
        <v>239</v>
      </c>
      <c r="I686" s="180" t="s">
        <v>283</v>
      </c>
      <c r="J686" s="173" t="s">
        <v>26</v>
      </c>
      <c r="K686" s="241">
        <v>40035</v>
      </c>
      <c r="L686" s="173" t="s">
        <v>1710</v>
      </c>
      <c r="M686" s="262"/>
      <c r="N686" s="337">
        <f>600/13</f>
        <v>46.153846153846153</v>
      </c>
      <c r="O686" s="461">
        <f>CompletedProjects[[#This Row],[Power Plant Size (MW) or Share]]*0.593*9057*211.9*10^(-9)</f>
        <v>5.2526433780000006E-2</v>
      </c>
      <c r="P686" s="337">
        <f>CompletedProjects[[#This Row],[Annual Emissions (MMTCO2)]]*40</f>
        <v>2.1010573512000001</v>
      </c>
      <c r="Q686" s="176"/>
      <c r="R686" s="178" t="s">
        <v>524</v>
      </c>
      <c r="S686" s="167"/>
      <c r="T686" s="178"/>
      <c r="U686" s="2"/>
      <c r="V686" s="2"/>
      <c r="Y686" s="2"/>
    </row>
    <row r="687" spans="1:25" ht="129">
      <c r="A687" s="167" t="s">
        <v>160</v>
      </c>
      <c r="B687" s="167" t="s">
        <v>511</v>
      </c>
      <c r="C687" s="167" t="s">
        <v>464</v>
      </c>
      <c r="D687" s="172">
        <f>46500000*'Dev Bank Share by Country'!$G$85</f>
        <v>2945152.9951176704</v>
      </c>
      <c r="E687" s="173" t="s">
        <v>423</v>
      </c>
      <c r="F687" s="173" t="s">
        <v>424</v>
      </c>
      <c r="G687" s="262" t="s">
        <v>774</v>
      </c>
      <c r="H687" s="173" t="s">
        <v>65</v>
      </c>
      <c r="I687" s="173" t="s">
        <v>284</v>
      </c>
      <c r="J687" s="173" t="s">
        <v>79</v>
      </c>
      <c r="K687" s="241">
        <v>39898</v>
      </c>
      <c r="L687" s="173" t="s">
        <v>920</v>
      </c>
      <c r="M687" s="273"/>
      <c r="N687" s="256"/>
      <c r="O687" s="461">
        <f>CompletedProjects[[#This Row],[Power Plant Size (MW) or Share]]*0.593*9057*211.9*10^(-9)</f>
        <v>0</v>
      </c>
      <c r="P687" s="337">
        <f>CompletedProjects[[#This Row],[Annual Emissions (MMTCO2)]]*40</f>
        <v>0</v>
      </c>
      <c r="Q687" s="167"/>
      <c r="R687" s="173" t="s">
        <v>920</v>
      </c>
      <c r="S687" s="167" t="s">
        <v>465</v>
      </c>
      <c r="T687" s="173"/>
      <c r="U687" s="2"/>
      <c r="V687" s="2"/>
      <c r="Y687" s="2"/>
    </row>
    <row r="688" spans="1:25" ht="57.35">
      <c r="A688" s="167" t="s">
        <v>160</v>
      </c>
      <c r="B688" s="171" t="s">
        <v>87</v>
      </c>
      <c r="C688" s="171" t="s">
        <v>336</v>
      </c>
      <c r="D688" s="172">
        <v>17000000</v>
      </c>
      <c r="E688" s="173" t="s">
        <v>88</v>
      </c>
      <c r="F688" s="173" t="s">
        <v>89</v>
      </c>
      <c r="G688" s="262" t="s">
        <v>660</v>
      </c>
      <c r="H688" s="173" t="s">
        <v>85</v>
      </c>
      <c r="I688" s="173" t="s">
        <v>40</v>
      </c>
      <c r="J688" s="173" t="s">
        <v>40</v>
      </c>
      <c r="K688" s="241">
        <v>39168</v>
      </c>
      <c r="L688" s="173" t="s">
        <v>90</v>
      </c>
      <c r="M688" s="262"/>
      <c r="N688" s="337"/>
      <c r="O688" s="461">
        <f>CompletedProjects[[#This Row],[Power Plant Size (MW) or Share]]*0.593*9057*211.9*10^(-9)</f>
        <v>0</v>
      </c>
      <c r="P688" s="337">
        <f>CompletedProjects[[#This Row],[Annual Emissions (MMTCO2)]]*40</f>
        <v>0</v>
      </c>
      <c r="Q688" s="176"/>
      <c r="R688" s="171"/>
      <c r="S688" s="167"/>
      <c r="T688" s="171"/>
      <c r="U688" s="2"/>
      <c r="V688" s="2"/>
      <c r="Y688" s="2"/>
    </row>
    <row r="689" spans="1:25" ht="86">
      <c r="A689" s="167" t="s">
        <v>160</v>
      </c>
      <c r="B689" s="171" t="s">
        <v>87</v>
      </c>
      <c r="C689" s="171" t="s">
        <v>336</v>
      </c>
      <c r="D689" s="172">
        <v>37358921.160000004</v>
      </c>
      <c r="E689" s="173" t="s">
        <v>91</v>
      </c>
      <c r="F689" s="173" t="s">
        <v>92</v>
      </c>
      <c r="G689" s="262" t="s">
        <v>657</v>
      </c>
      <c r="H689" s="173" t="s">
        <v>63</v>
      </c>
      <c r="I689" s="180" t="s">
        <v>283</v>
      </c>
      <c r="J689" s="173" t="s">
        <v>26</v>
      </c>
      <c r="K689" s="241">
        <v>39170</v>
      </c>
      <c r="L689" s="173"/>
      <c r="M689" s="262" t="s">
        <v>820</v>
      </c>
      <c r="N689" s="337">
        <v>600</v>
      </c>
      <c r="O689" s="461">
        <f>CompletedProjects[[#This Row],[Power Plant Size (MW) or Share]]*0.593*9057*211.9*10^(-9)</f>
        <v>0.68284363914000001</v>
      </c>
      <c r="P689" s="337">
        <f>CompletedProjects[[#This Row],[Annual Emissions (MMTCO2)]]*40</f>
        <v>27.313745565600001</v>
      </c>
      <c r="Q689" s="176"/>
      <c r="R689" s="178"/>
      <c r="S689" s="167"/>
      <c r="T689" s="178"/>
      <c r="U689" s="30"/>
    </row>
    <row r="690" spans="1:25" ht="272.35000000000002">
      <c r="A690" s="167" t="s">
        <v>160</v>
      </c>
      <c r="B690" s="167" t="s">
        <v>513</v>
      </c>
      <c r="C690" s="167" t="s">
        <v>464</v>
      </c>
      <c r="D690" s="172">
        <f>29600000*'Dev Bank Share by Country'!$C$85</f>
        <v>2344320</v>
      </c>
      <c r="E690" s="173" t="s">
        <v>266</v>
      </c>
      <c r="F690" s="173" t="s">
        <v>444</v>
      </c>
      <c r="G690" s="262" t="s">
        <v>781</v>
      </c>
      <c r="H690" s="173" t="s">
        <v>85</v>
      </c>
      <c r="I690" s="173" t="s">
        <v>284</v>
      </c>
      <c r="J690" s="173" t="s">
        <v>1498</v>
      </c>
      <c r="K690" s="241">
        <v>41163</v>
      </c>
      <c r="L690" s="173" t="s">
        <v>825</v>
      </c>
      <c r="M690" s="262"/>
      <c r="N690" s="256"/>
      <c r="O690" s="461">
        <f>CompletedProjects[[#This Row],[Power Plant Size (MW) or Share]]*0.593*9057*211.9*10^(-9)</f>
        <v>0</v>
      </c>
      <c r="P690" s="337">
        <f>CompletedProjects[[#This Row],[Annual Emissions (MMTCO2)]]*40</f>
        <v>0</v>
      </c>
      <c r="Q690" s="167"/>
      <c r="R690" s="167" t="s">
        <v>400</v>
      </c>
      <c r="S690" s="167" t="s">
        <v>465</v>
      </c>
      <c r="T690" s="167"/>
      <c r="U690" s="30"/>
    </row>
    <row r="691" spans="1:25" ht="43">
      <c r="A691" s="167" t="s">
        <v>160</v>
      </c>
      <c r="B691" s="182" t="s">
        <v>559</v>
      </c>
      <c r="C691" s="182" t="s">
        <v>464</v>
      </c>
      <c r="D691" s="172">
        <v>1358410.6560472033</v>
      </c>
      <c r="E691" s="173" t="s">
        <v>598</v>
      </c>
      <c r="F691" s="173" t="s">
        <v>598</v>
      </c>
      <c r="G691" s="262" t="s">
        <v>798</v>
      </c>
      <c r="H691" s="173" t="s">
        <v>201</v>
      </c>
      <c r="I691" s="173" t="s">
        <v>40</v>
      </c>
      <c r="J691" s="173" t="s">
        <v>40</v>
      </c>
      <c r="K691" s="240">
        <v>40199</v>
      </c>
      <c r="L691" s="269" t="s">
        <v>1691</v>
      </c>
      <c r="M691" s="262"/>
      <c r="N691" s="337"/>
      <c r="O691" s="461">
        <f>CompletedProjects[[#This Row],[Power Plant Size (MW) or Share]]*0.593*9057*211.9*10^(-9)</f>
        <v>0</v>
      </c>
      <c r="P691" s="337">
        <f>CompletedProjects[[#This Row],[Annual Emissions (MMTCO2)]]*40</f>
        <v>0</v>
      </c>
      <c r="Q691" s="176"/>
      <c r="R691" s="178"/>
      <c r="S691" s="167"/>
      <c r="T691" s="178"/>
      <c r="U691" s="30"/>
    </row>
    <row r="692" spans="1:25" ht="157.69999999999999">
      <c r="A692" s="167" t="s">
        <v>160</v>
      </c>
      <c r="B692" s="167" t="s">
        <v>512</v>
      </c>
      <c r="C692" s="167" t="s">
        <v>464</v>
      </c>
      <c r="D692" s="172">
        <f>2000000*'Dev Bank Share by Country'!$E$85</f>
        <v>169400.67471908079</v>
      </c>
      <c r="E692" s="173" t="s">
        <v>410</v>
      </c>
      <c r="F692" s="173" t="s">
        <v>411</v>
      </c>
      <c r="G692" s="262" t="s">
        <v>777</v>
      </c>
      <c r="H692" s="173" t="s">
        <v>412</v>
      </c>
      <c r="I692" s="173" t="s">
        <v>284</v>
      </c>
      <c r="J692" s="173" t="s">
        <v>1498</v>
      </c>
      <c r="K692" s="241">
        <v>39261</v>
      </c>
      <c r="L692" s="173" t="s">
        <v>916</v>
      </c>
      <c r="M692" s="262"/>
      <c r="N692" s="256"/>
      <c r="O692" s="461">
        <f>CompletedProjects[[#This Row],[Power Plant Size (MW) or Share]]*0.593*9057*211.9*10^(-9)</f>
        <v>0</v>
      </c>
      <c r="P692" s="337">
        <f>CompletedProjects[[#This Row],[Annual Emissions (MMTCO2)]]*40</f>
        <v>0</v>
      </c>
      <c r="Q692" s="167"/>
      <c r="R692" s="167" t="s">
        <v>400</v>
      </c>
      <c r="S692" s="167" t="s">
        <v>633</v>
      </c>
      <c r="T692" s="167"/>
      <c r="U692" s="22"/>
      <c r="V692" s="2"/>
      <c r="X692" s="30"/>
      <c r="Y692" s="2"/>
    </row>
    <row r="693" spans="1:25" ht="43">
      <c r="A693" s="167" t="s">
        <v>160</v>
      </c>
      <c r="B693" s="171" t="s">
        <v>256</v>
      </c>
      <c r="C693" s="171" t="s">
        <v>337</v>
      </c>
      <c r="D693" s="172">
        <v>178015500</v>
      </c>
      <c r="E693" s="173" t="s">
        <v>263</v>
      </c>
      <c r="F693" s="173" t="s">
        <v>298</v>
      </c>
      <c r="G693" s="262" t="s">
        <v>716</v>
      </c>
      <c r="H693" s="173" t="s">
        <v>63</v>
      </c>
      <c r="I693" s="180" t="s">
        <v>283</v>
      </c>
      <c r="J693" s="173" t="s">
        <v>26</v>
      </c>
      <c r="K693" s="241">
        <v>39171</v>
      </c>
      <c r="L693" s="173"/>
      <c r="M693" s="262"/>
      <c r="N693" s="337">
        <v>600</v>
      </c>
      <c r="O693" s="461">
        <f>CompletedProjects[[#This Row],[Power Plant Size (MW) or Share]]*0.593*9057*211.9*10^(-9)</f>
        <v>0.68284363914000001</v>
      </c>
      <c r="P693" s="337">
        <f>CompletedProjects[[#This Row],[Annual Emissions (MMTCO2)]]*40</f>
        <v>27.313745565600001</v>
      </c>
      <c r="Q693" s="176"/>
      <c r="R693" s="178"/>
      <c r="S693" s="167"/>
      <c r="T693" s="178"/>
      <c r="U693" s="30"/>
    </row>
    <row r="694" spans="1:25" ht="57.35">
      <c r="A694" s="167" t="s">
        <v>160</v>
      </c>
      <c r="B694" s="171" t="s">
        <v>161</v>
      </c>
      <c r="C694" s="171" t="s">
        <v>336</v>
      </c>
      <c r="D694" s="172"/>
      <c r="E694" s="173" t="s">
        <v>163</v>
      </c>
      <c r="F694" s="173" t="s">
        <v>164</v>
      </c>
      <c r="G694" s="262" t="s">
        <v>757</v>
      </c>
      <c r="H694" s="173" t="s">
        <v>85</v>
      </c>
      <c r="I694" s="173" t="s">
        <v>40</v>
      </c>
      <c r="J694" s="173" t="s">
        <v>40</v>
      </c>
      <c r="K694" s="241">
        <v>39171</v>
      </c>
      <c r="L694" s="173" t="s">
        <v>888</v>
      </c>
      <c r="M694" s="262" t="s">
        <v>889</v>
      </c>
      <c r="N694" s="337"/>
      <c r="O694" s="461">
        <f>CompletedProjects[[#This Row],[Power Plant Size (MW) or Share]]*0.593*9057*211.9*10^(-9)</f>
        <v>0</v>
      </c>
      <c r="P694" s="337">
        <f>CompletedProjects[[#This Row],[Annual Emissions (MMTCO2)]]*40</f>
        <v>0</v>
      </c>
      <c r="Q694" s="176"/>
      <c r="R694" s="178"/>
      <c r="S694" s="167"/>
      <c r="T694" s="178"/>
      <c r="U694" s="30"/>
    </row>
    <row r="695" spans="1:25" ht="114.7">
      <c r="A695" s="167" t="s">
        <v>160</v>
      </c>
      <c r="B695" s="171" t="s">
        <v>161</v>
      </c>
      <c r="C695" s="171" t="s">
        <v>336</v>
      </c>
      <c r="D695" s="172">
        <v>24638400</v>
      </c>
      <c r="E695" s="173" t="s">
        <v>91</v>
      </c>
      <c r="F695" s="173" t="s">
        <v>165</v>
      </c>
      <c r="G695" s="262" t="s">
        <v>748</v>
      </c>
      <c r="H695" s="173" t="s">
        <v>63</v>
      </c>
      <c r="I695" s="180" t="s">
        <v>283</v>
      </c>
      <c r="J695" s="173" t="s">
        <v>26</v>
      </c>
      <c r="K695" s="241">
        <v>39174</v>
      </c>
      <c r="L695" s="173"/>
      <c r="M695" s="262" t="s">
        <v>852</v>
      </c>
      <c r="N695" s="337">
        <v>600</v>
      </c>
      <c r="O695" s="461">
        <f>CompletedProjects[[#This Row],[Power Plant Size (MW) or Share]]*0.593*9057*211.9*10^(-9)</f>
        <v>0.68284363914000001</v>
      </c>
      <c r="P695" s="337">
        <f>CompletedProjects[[#This Row],[Annual Emissions (MMTCO2)]]*40</f>
        <v>27.313745565600001</v>
      </c>
      <c r="Q695" s="176"/>
      <c r="R695" s="178"/>
      <c r="S695" s="167"/>
      <c r="T695" s="178"/>
      <c r="U695" s="22"/>
      <c r="V695" s="2"/>
      <c r="X695" s="30"/>
      <c r="Y695" s="2"/>
    </row>
    <row r="696" spans="1:25" ht="71.7">
      <c r="A696" s="167" t="s">
        <v>160</v>
      </c>
      <c r="B696" s="171" t="s">
        <v>87</v>
      </c>
      <c r="C696" s="171" t="s">
        <v>336</v>
      </c>
      <c r="D696" s="172">
        <v>1536465715.75</v>
      </c>
      <c r="E696" s="173" t="s">
        <v>93</v>
      </c>
      <c r="F696" s="173" t="s">
        <v>94</v>
      </c>
      <c r="G696" s="262" t="s">
        <v>666</v>
      </c>
      <c r="H696" s="173" t="s">
        <v>95</v>
      </c>
      <c r="I696" s="180" t="s">
        <v>283</v>
      </c>
      <c r="J696" s="173" t="s">
        <v>277</v>
      </c>
      <c r="K696" s="241">
        <v>39240</v>
      </c>
      <c r="L696" s="173" t="s">
        <v>844</v>
      </c>
      <c r="M696" s="262" t="s">
        <v>845</v>
      </c>
      <c r="N696" s="337">
        <v>1953</v>
      </c>
      <c r="O696" s="461">
        <f>CompletedProjects[[#This Row],[Power Plant Size (MW) or Share]]*0.593*9057*211.9*10^(-9)</f>
        <v>2.2226560454006998</v>
      </c>
      <c r="P696" s="337">
        <f>CompletedProjects[[#This Row],[Annual Emissions (MMTCO2)]]*40</f>
        <v>88.906241816028</v>
      </c>
      <c r="Q696" s="176"/>
      <c r="R696" s="178"/>
      <c r="S696" s="167"/>
      <c r="T696" s="178"/>
      <c r="U696" s="30"/>
    </row>
    <row r="697" spans="1:25" ht="43">
      <c r="A697" s="167" t="s">
        <v>160</v>
      </c>
      <c r="B697" s="171" t="s">
        <v>87</v>
      </c>
      <c r="C697" s="171" t="s">
        <v>336</v>
      </c>
      <c r="D697" s="172">
        <v>139765377.60000002</v>
      </c>
      <c r="E697" s="173" t="s">
        <v>41</v>
      </c>
      <c r="F697" s="173" t="s">
        <v>150</v>
      </c>
      <c r="G697" s="262" t="s">
        <v>687</v>
      </c>
      <c r="H697" s="173" t="s">
        <v>25</v>
      </c>
      <c r="I697" s="173" t="s">
        <v>1507</v>
      </c>
      <c r="J697" s="173" t="s">
        <v>428</v>
      </c>
      <c r="K697" s="241">
        <v>39241</v>
      </c>
      <c r="L697" s="173"/>
      <c r="M697" s="262"/>
      <c r="N697" s="337"/>
      <c r="O697" s="461">
        <f>CompletedProjects[[#This Row],[Power Plant Size (MW) or Share]]*0.593*9057*211.9*10^(-9)</f>
        <v>0</v>
      </c>
      <c r="P697" s="337">
        <f>CompletedProjects[[#This Row],[Annual Emissions (MMTCO2)]]*40</f>
        <v>0</v>
      </c>
      <c r="Q697" s="176"/>
      <c r="R697" s="178"/>
      <c r="S697" s="167"/>
      <c r="T697" s="178"/>
      <c r="U697" s="30"/>
    </row>
    <row r="698" spans="1:25" ht="43">
      <c r="A698" s="167" t="s">
        <v>160</v>
      </c>
      <c r="B698" s="171" t="s">
        <v>87</v>
      </c>
      <c r="C698" s="171" t="s">
        <v>336</v>
      </c>
      <c r="D698" s="172">
        <v>380000000</v>
      </c>
      <c r="E698" s="173" t="s">
        <v>96</v>
      </c>
      <c r="F698" s="173" t="s">
        <v>1444</v>
      </c>
      <c r="G698" s="262" t="s">
        <v>673</v>
      </c>
      <c r="H698" s="173" t="s">
        <v>65</v>
      </c>
      <c r="I698" s="180" t="s">
        <v>283</v>
      </c>
      <c r="J698" s="173" t="s">
        <v>26</v>
      </c>
      <c r="K698" s="241">
        <v>39436</v>
      </c>
      <c r="L698" s="197"/>
      <c r="M698" s="262" t="s">
        <v>661</v>
      </c>
      <c r="N698" s="337">
        <v>1980</v>
      </c>
      <c r="O698" s="461">
        <f>CompletedProjects[[#This Row],[Power Plant Size (MW) or Share]]*0.593*9057*211.9*10^(-9)</f>
        <v>2.2533840091619997</v>
      </c>
      <c r="P698" s="337">
        <f>CompletedProjects[[#This Row],[Annual Emissions (MMTCO2)]]*40</f>
        <v>90.135360366479986</v>
      </c>
      <c r="Q698" s="176"/>
      <c r="R698" s="173"/>
      <c r="S698" s="167"/>
      <c r="T698" s="173"/>
      <c r="U698" s="30"/>
    </row>
    <row r="699" spans="1:25" ht="43">
      <c r="A699" s="167" t="s">
        <v>160</v>
      </c>
      <c r="B699" s="171" t="s">
        <v>87</v>
      </c>
      <c r="C699" s="171" t="s">
        <v>336</v>
      </c>
      <c r="D699" s="172">
        <v>74929221.75</v>
      </c>
      <c r="E699" s="173" t="s">
        <v>41</v>
      </c>
      <c r="F699" s="173" t="s">
        <v>97</v>
      </c>
      <c r="G699" s="262" t="s">
        <v>658</v>
      </c>
      <c r="H699" s="173" t="s">
        <v>25</v>
      </c>
      <c r="I699" s="173" t="s">
        <v>1507</v>
      </c>
      <c r="J699" s="173" t="s">
        <v>428</v>
      </c>
      <c r="K699" s="241">
        <v>39639</v>
      </c>
      <c r="L699" s="197"/>
      <c r="M699" s="262"/>
      <c r="N699" s="337"/>
      <c r="O699" s="461">
        <f>CompletedProjects[[#This Row],[Power Plant Size (MW) or Share]]*0.593*9057*211.9*10^(-9)</f>
        <v>0</v>
      </c>
      <c r="P699" s="337">
        <f>CompletedProjects[[#This Row],[Annual Emissions (MMTCO2)]]*40</f>
        <v>0</v>
      </c>
      <c r="Q699" s="176"/>
      <c r="R699" s="173" t="s">
        <v>98</v>
      </c>
      <c r="S699" s="167"/>
      <c r="T699" s="173"/>
      <c r="U699" s="30"/>
    </row>
    <row r="700" spans="1:25" ht="43">
      <c r="A700" s="167" t="s">
        <v>160</v>
      </c>
      <c r="B700" s="167" t="s">
        <v>511</v>
      </c>
      <c r="C700" s="167" t="s">
        <v>464</v>
      </c>
      <c r="D700" s="172">
        <f>740000000*'Dev Bank Share by Country'!$G$85</f>
        <v>46869101.427679054</v>
      </c>
      <c r="E700" s="173" t="s">
        <v>418</v>
      </c>
      <c r="F700" s="173" t="s">
        <v>419</v>
      </c>
      <c r="G700" s="262" t="s">
        <v>765</v>
      </c>
      <c r="H700" s="173" t="s">
        <v>144</v>
      </c>
      <c r="I700" s="180" t="s">
        <v>283</v>
      </c>
      <c r="J700" s="173" t="s">
        <v>26</v>
      </c>
      <c r="K700" s="241">
        <v>39520</v>
      </c>
      <c r="L700" s="202" t="s">
        <v>817</v>
      </c>
      <c r="M700" s="451"/>
      <c r="N700" s="256">
        <f>330/19</f>
        <v>17.368421052631579</v>
      </c>
      <c r="O700" s="461">
        <f>CompletedProjects[[#This Row],[Power Plant Size (MW) or Share]]*0.593*9057*211.9*10^(-9)</f>
        <v>1.9766526396157894E-2</v>
      </c>
      <c r="P700" s="337">
        <f>CompletedProjects[[#This Row],[Annual Emissions (MMTCO2)]]*40</f>
        <v>0.79066105584631574</v>
      </c>
      <c r="Q700" s="167"/>
      <c r="R700" s="167" t="s">
        <v>400</v>
      </c>
      <c r="S700" s="167" t="s">
        <v>633</v>
      </c>
      <c r="T700" s="167"/>
      <c r="U700" s="30"/>
    </row>
    <row r="701" spans="1:25" ht="86">
      <c r="A701" s="167" t="s">
        <v>160</v>
      </c>
      <c r="B701" s="171" t="s">
        <v>87</v>
      </c>
      <c r="C701" s="171" t="s">
        <v>336</v>
      </c>
      <c r="D701" s="172">
        <v>883580000</v>
      </c>
      <c r="E701" s="173" t="s">
        <v>99</v>
      </c>
      <c r="F701" s="173" t="s">
        <v>100</v>
      </c>
      <c r="G701" s="264" t="s">
        <v>665</v>
      </c>
      <c r="H701" s="173" t="s">
        <v>85</v>
      </c>
      <c r="I701" s="180" t="s">
        <v>283</v>
      </c>
      <c r="J701" s="173" t="s">
        <v>26</v>
      </c>
      <c r="K701" s="241">
        <v>39812</v>
      </c>
      <c r="L701" s="197"/>
      <c r="M701" s="262" t="s">
        <v>661</v>
      </c>
      <c r="N701" s="337">
        <f>1320/2</f>
        <v>660</v>
      </c>
      <c r="O701" s="461">
        <f>CompletedProjects[[#This Row],[Power Plant Size (MW) or Share]]*0.593*9057*211.9*10^(-9)</f>
        <v>0.75112800305400007</v>
      </c>
      <c r="P701" s="337">
        <f>CompletedProjects[[#This Row],[Annual Emissions (MMTCO2)]]*40</f>
        <v>30.045120122160004</v>
      </c>
      <c r="Q701" s="176"/>
      <c r="R701" s="173" t="s">
        <v>288</v>
      </c>
      <c r="S701" s="167"/>
      <c r="T701" s="173"/>
      <c r="U701" s="30"/>
    </row>
    <row r="702" spans="1:25" ht="43">
      <c r="A702" s="167" t="s">
        <v>160</v>
      </c>
      <c r="B702" s="171" t="s">
        <v>161</v>
      </c>
      <c r="C702" s="171" t="s">
        <v>336</v>
      </c>
      <c r="D702" s="172">
        <v>560660000</v>
      </c>
      <c r="E702" s="173" t="s">
        <v>166</v>
      </c>
      <c r="F702" s="173" t="s">
        <v>167</v>
      </c>
      <c r="G702" s="262" t="s">
        <v>725</v>
      </c>
      <c r="H702" s="173" t="s">
        <v>85</v>
      </c>
      <c r="I702" s="180" t="s">
        <v>283</v>
      </c>
      <c r="J702" s="173" t="s">
        <v>26</v>
      </c>
      <c r="K702" s="241">
        <v>39826</v>
      </c>
      <c r="L702" s="197"/>
      <c r="M702" s="262" t="s">
        <v>891</v>
      </c>
      <c r="N702" s="337">
        <f>1320/2</f>
        <v>660</v>
      </c>
      <c r="O702" s="461">
        <f>CompletedProjects[[#This Row],[Power Plant Size (MW) or Share]]*0.593*9057*211.9*10^(-9)</f>
        <v>0.75112800305400007</v>
      </c>
      <c r="P702" s="337">
        <f>CompletedProjects[[#This Row],[Annual Emissions (MMTCO2)]]*40</f>
        <v>30.045120122160004</v>
      </c>
      <c r="Q702" s="176"/>
      <c r="R702" s="173" t="s">
        <v>890</v>
      </c>
      <c r="S702" s="167"/>
      <c r="T702" s="173"/>
      <c r="U702" s="30"/>
    </row>
    <row r="703" spans="1:25" ht="200.7">
      <c r="A703" s="167" t="s">
        <v>160</v>
      </c>
      <c r="B703" s="167" t="s">
        <v>513</v>
      </c>
      <c r="C703" s="167" t="s">
        <v>464</v>
      </c>
      <c r="D703" s="172">
        <f>180000000*'Dev Bank Share by Country'!$C$85</f>
        <v>14256000.000000002</v>
      </c>
      <c r="E703" s="173" t="s">
        <v>425</v>
      </c>
      <c r="F703" s="173" t="s">
        <v>426</v>
      </c>
      <c r="G703" s="264" t="s">
        <v>770</v>
      </c>
      <c r="H703" s="173" t="s">
        <v>65</v>
      </c>
      <c r="I703" s="180" t="s">
        <v>283</v>
      </c>
      <c r="J703" s="173" t="s">
        <v>277</v>
      </c>
      <c r="K703" s="241">
        <v>39982</v>
      </c>
      <c r="L703" s="197"/>
      <c r="M703" s="273"/>
      <c r="N703" s="256">
        <f>420/19</f>
        <v>22.105263157894736</v>
      </c>
      <c r="O703" s="461">
        <f>CompletedProjects[[#This Row],[Power Plant Size (MW) or Share]]*0.593*9057*211.9*10^(-9)</f>
        <v>2.5157397231473682E-2</v>
      </c>
      <c r="P703" s="337">
        <f>CompletedProjects[[#This Row],[Annual Emissions (MMTCO2)]]*40</f>
        <v>1.0062958892589473</v>
      </c>
      <c r="Q703" s="167"/>
      <c r="R703" s="173" t="s">
        <v>921</v>
      </c>
      <c r="S703" s="167" t="s">
        <v>466</v>
      </c>
      <c r="T703" s="173"/>
      <c r="U703" s="30"/>
    </row>
    <row r="704" spans="1:25" ht="71.7">
      <c r="A704" s="167" t="s">
        <v>160</v>
      </c>
      <c r="B704" s="186" t="s">
        <v>519</v>
      </c>
      <c r="C704" s="186" t="s">
        <v>464</v>
      </c>
      <c r="D704" s="172">
        <f>350000*'Dev Bank Share by Country'!$K$85</f>
        <v>54747</v>
      </c>
      <c r="E704" s="173" t="s">
        <v>542</v>
      </c>
      <c r="F704" s="173" t="s">
        <v>543</v>
      </c>
      <c r="G704" s="262"/>
      <c r="H704" s="173" t="s">
        <v>201</v>
      </c>
      <c r="I704" s="173" t="s">
        <v>40</v>
      </c>
      <c r="J704" s="173" t="s">
        <v>40</v>
      </c>
      <c r="K704" s="241">
        <v>41977</v>
      </c>
      <c r="L704" s="173" t="s">
        <v>1713</v>
      </c>
      <c r="M704" s="262" t="s">
        <v>805</v>
      </c>
      <c r="N704" s="102"/>
      <c r="O704" s="461">
        <f>CompletedProjects[[#This Row],[Power Plant Size (MW) or Share]]*0.593*9057*211.9*10^(-9)</f>
        <v>0</v>
      </c>
      <c r="P704" s="337">
        <f>CompletedProjects[[#This Row],[Annual Emissions (MMTCO2)]]*40</f>
        <v>0</v>
      </c>
      <c r="Q704" s="173"/>
      <c r="R704" s="178"/>
      <c r="S704" s="167"/>
      <c r="T704" s="178"/>
      <c r="U704" s="30"/>
    </row>
    <row r="705" spans="1:25" ht="43">
      <c r="A705" s="218" t="s">
        <v>160</v>
      </c>
      <c r="B705" s="218" t="s">
        <v>559</v>
      </c>
      <c r="C705" s="218" t="s">
        <v>464</v>
      </c>
      <c r="D705" s="172">
        <v>4797025.7225509658</v>
      </c>
      <c r="E705" s="173" t="s">
        <v>602</v>
      </c>
      <c r="F705" s="173" t="s">
        <v>603</v>
      </c>
      <c r="G705" s="262" t="s">
        <v>801</v>
      </c>
      <c r="H705" s="173" t="s">
        <v>39</v>
      </c>
      <c r="I705" s="180" t="s">
        <v>283</v>
      </c>
      <c r="J705" s="173" t="s">
        <v>277</v>
      </c>
      <c r="K705" s="240">
        <v>40561</v>
      </c>
      <c r="L705" s="173" t="s">
        <v>910</v>
      </c>
      <c r="M705" s="262"/>
      <c r="N705" s="337">
        <f>60/12</f>
        <v>5</v>
      </c>
      <c r="O705" s="461">
        <f>CompletedProjects[[#This Row],[Power Plant Size (MW) or Share]]*0.593*9057*211.9*10^(-9)</f>
        <v>5.6903636594999992E-3</v>
      </c>
      <c r="P705" s="337">
        <f>CompletedProjects[[#This Row],[Annual Emissions (MMTCO2)]]*40</f>
        <v>0.22761454637999998</v>
      </c>
      <c r="Q705" s="176"/>
      <c r="R705" s="178" t="s">
        <v>537</v>
      </c>
      <c r="S705" s="167"/>
      <c r="T705" s="178"/>
      <c r="U705" s="2"/>
      <c r="V705" s="2"/>
      <c r="Y705" s="2"/>
    </row>
    <row r="706" spans="1:25" ht="57.35">
      <c r="A706" s="167" t="s">
        <v>160</v>
      </c>
      <c r="B706" s="182" t="s">
        <v>559</v>
      </c>
      <c r="C706" s="182" t="s">
        <v>464</v>
      </c>
      <c r="D706" s="172">
        <v>6050315.7880546879</v>
      </c>
      <c r="E706" s="173" t="s">
        <v>610</v>
      </c>
      <c r="F706" s="173" t="s">
        <v>610</v>
      </c>
      <c r="G706" s="262" t="s">
        <v>1604</v>
      </c>
      <c r="H706" s="173" t="s">
        <v>368</v>
      </c>
      <c r="I706" s="173" t="s">
        <v>40</v>
      </c>
      <c r="J706" s="173" t="s">
        <v>40</v>
      </c>
      <c r="K706" s="240">
        <v>41264</v>
      </c>
      <c r="L706" s="173" t="s">
        <v>1695</v>
      </c>
      <c r="M706" s="262"/>
      <c r="N706" s="337"/>
      <c r="O706" s="461">
        <f>CompletedProjects[[#This Row],[Power Plant Size (MW) or Share]]*0.593*9057*211.9*10^(-9)</f>
        <v>0</v>
      </c>
      <c r="P706" s="337">
        <f>CompletedProjects[[#This Row],[Annual Emissions (MMTCO2)]]*40</f>
        <v>0</v>
      </c>
      <c r="Q706" s="176"/>
      <c r="R706" s="178"/>
      <c r="S706" s="167"/>
      <c r="T706" s="178"/>
      <c r="U706" s="2"/>
      <c r="V706" s="2"/>
      <c r="Y706" s="2"/>
    </row>
    <row r="707" spans="1:25" ht="258">
      <c r="A707" s="167" t="s">
        <v>160</v>
      </c>
      <c r="B707" s="167" t="s">
        <v>512</v>
      </c>
      <c r="C707" s="167" t="s">
        <v>464</v>
      </c>
      <c r="D707" s="172">
        <f>11000000*'Dev Bank Share by Country'!$E$85</f>
        <v>931703.71095494437</v>
      </c>
      <c r="E707" s="173" t="s">
        <v>420</v>
      </c>
      <c r="F707" s="173" t="s">
        <v>421</v>
      </c>
      <c r="G707" s="262" t="s">
        <v>769</v>
      </c>
      <c r="H707" s="173" t="s">
        <v>422</v>
      </c>
      <c r="I707" s="180" t="s">
        <v>283</v>
      </c>
      <c r="J707" s="173" t="s">
        <v>277</v>
      </c>
      <c r="K707" s="241">
        <v>39777</v>
      </c>
      <c r="L707" s="197"/>
      <c r="M707" s="273"/>
      <c r="N707" s="256"/>
      <c r="O707" s="461">
        <f>CompletedProjects[[#This Row],[Power Plant Size (MW) or Share]]*0.593*9057*211.9*10^(-9)</f>
        <v>0</v>
      </c>
      <c r="P707" s="337">
        <f>CompletedProjects[[#This Row],[Annual Emissions (MMTCO2)]]*40</f>
        <v>0</v>
      </c>
      <c r="Q707" s="167"/>
      <c r="R707" s="173" t="s">
        <v>834</v>
      </c>
      <c r="S707" s="167" t="s">
        <v>633</v>
      </c>
      <c r="T707" s="173"/>
      <c r="U707" s="2"/>
      <c r="V707" s="2"/>
      <c r="Y707" s="2"/>
    </row>
    <row r="708" spans="1:25" ht="57.35">
      <c r="A708" s="167" t="s">
        <v>160</v>
      </c>
      <c r="B708" s="171" t="s">
        <v>87</v>
      </c>
      <c r="C708" s="171" t="s">
        <v>336</v>
      </c>
      <c r="D708" s="172">
        <v>153700000</v>
      </c>
      <c r="E708" s="173" t="s">
        <v>101</v>
      </c>
      <c r="F708" s="173" t="s">
        <v>102</v>
      </c>
      <c r="G708" s="262" t="s">
        <v>692</v>
      </c>
      <c r="H708" s="173" t="s">
        <v>65</v>
      </c>
      <c r="I708" s="180" t="s">
        <v>283</v>
      </c>
      <c r="J708" s="173" t="s">
        <v>26</v>
      </c>
      <c r="K708" s="241">
        <v>40022</v>
      </c>
      <c r="L708" s="197"/>
      <c r="M708" s="262"/>
      <c r="N708" s="337"/>
      <c r="O708" s="461">
        <f>CompletedProjects[[#This Row],[Power Plant Size (MW) or Share]]*0.593*9057*211.9*10^(-9)</f>
        <v>0</v>
      </c>
      <c r="P708" s="337">
        <f>CompletedProjects[[#This Row],[Annual Emissions (MMTCO2)]]*40</f>
        <v>0</v>
      </c>
      <c r="Q708" s="176"/>
      <c r="R708" s="173"/>
      <c r="S708" s="167"/>
      <c r="T708" s="173"/>
      <c r="U708" s="2"/>
      <c r="V708" s="2"/>
      <c r="Y708" s="2"/>
    </row>
    <row r="709" spans="1:25" ht="272.35000000000002">
      <c r="A709" s="167" t="s">
        <v>160</v>
      </c>
      <c r="B709" s="167" t="s">
        <v>513</v>
      </c>
      <c r="C709" s="167" t="s">
        <v>464</v>
      </c>
      <c r="D709" s="172">
        <f>1000000000*'Dev Bank Share by Country'!$C$85</f>
        <v>79200000</v>
      </c>
      <c r="E709" s="173" t="s">
        <v>425</v>
      </c>
      <c r="F709" s="173" t="s">
        <v>427</v>
      </c>
      <c r="G709" s="262" t="s">
        <v>778</v>
      </c>
      <c r="H709" s="173" t="s">
        <v>65</v>
      </c>
      <c r="I709" s="173" t="s">
        <v>1507</v>
      </c>
      <c r="J709" s="173" t="s">
        <v>428</v>
      </c>
      <c r="K709" s="241">
        <v>40078</v>
      </c>
      <c r="L709" s="197"/>
      <c r="M709" s="262"/>
      <c r="N709" s="256"/>
      <c r="O709" s="461">
        <f>CompletedProjects[[#This Row],[Power Plant Size (MW) or Share]]*0.593*9057*211.9*10^(-9)</f>
        <v>0</v>
      </c>
      <c r="P709" s="337">
        <f>CompletedProjects[[#This Row],[Annual Emissions (MMTCO2)]]*40</f>
        <v>0</v>
      </c>
      <c r="Q709" s="167"/>
      <c r="R709" s="173" t="s">
        <v>824</v>
      </c>
      <c r="S709" s="167" t="s">
        <v>465</v>
      </c>
      <c r="T709" s="173"/>
      <c r="U709" s="2"/>
      <c r="V709" s="2"/>
      <c r="Y709" s="2"/>
    </row>
    <row r="710" spans="1:25" ht="114.7">
      <c r="A710" s="167" t="s">
        <v>160</v>
      </c>
      <c r="B710" s="167" t="s">
        <v>513</v>
      </c>
      <c r="C710" s="167" t="s">
        <v>464</v>
      </c>
      <c r="D710" s="172">
        <f>3040000000*'Dev Bank Share by Country'!$C$85</f>
        <v>240768000.00000003</v>
      </c>
      <c r="E710" s="173" t="s">
        <v>41</v>
      </c>
      <c r="F710" s="173" t="s">
        <v>432</v>
      </c>
      <c r="G710" s="262" t="s">
        <v>773</v>
      </c>
      <c r="H710" s="173" t="s">
        <v>25</v>
      </c>
      <c r="I710" s="180" t="s">
        <v>283</v>
      </c>
      <c r="J710" s="173" t="s">
        <v>26</v>
      </c>
      <c r="K710" s="241">
        <v>40276</v>
      </c>
      <c r="L710" s="173" t="s">
        <v>923</v>
      </c>
      <c r="M710" s="273"/>
      <c r="N710" s="337">
        <f>4800/19/2</f>
        <v>126.31578947368421</v>
      </c>
      <c r="O710" s="461">
        <f>CompletedProjects[[#This Row],[Power Plant Size (MW) or Share]]*0.593*9057*211.9*10^(-9)</f>
        <v>0.14375655560842107</v>
      </c>
      <c r="P710" s="337">
        <f>CompletedProjects[[#This Row],[Annual Emissions (MMTCO2)]]*40</f>
        <v>5.7502622243368426</v>
      </c>
      <c r="Q710" s="167"/>
      <c r="R710" s="178" t="s">
        <v>643</v>
      </c>
      <c r="S710" s="167" t="s">
        <v>465</v>
      </c>
      <c r="T710" s="178"/>
      <c r="U710" s="2"/>
      <c r="V710" s="2"/>
      <c r="Y710" s="2"/>
    </row>
    <row r="711" spans="1:25" ht="71.7">
      <c r="A711" s="167" t="s">
        <v>160</v>
      </c>
      <c r="B711" s="186" t="s">
        <v>519</v>
      </c>
      <c r="C711" s="186" t="s">
        <v>464</v>
      </c>
      <c r="D711" s="172">
        <f>900525000*'Dev Bank Share by Country'!$K$85</f>
        <v>140860120.5</v>
      </c>
      <c r="E711" s="173" t="s">
        <v>510</v>
      </c>
      <c r="F711" s="173" t="s">
        <v>541</v>
      </c>
      <c r="G711" s="262"/>
      <c r="H711" s="173" t="s">
        <v>442</v>
      </c>
      <c r="I711" s="180" t="s">
        <v>283</v>
      </c>
      <c r="J711" s="173" t="s">
        <v>26</v>
      </c>
      <c r="K711" s="241">
        <v>41617</v>
      </c>
      <c r="L711" s="178" t="s">
        <v>1712</v>
      </c>
      <c r="M711" s="262" t="s">
        <v>902</v>
      </c>
      <c r="N711" s="337">
        <f>600/13</f>
        <v>46.153846153846153</v>
      </c>
      <c r="O711" s="461">
        <f>CompletedProjects[[#This Row],[Power Plant Size (MW) or Share]]*0.593*9057*211.9*10^(-9)</f>
        <v>5.2526433780000006E-2</v>
      </c>
      <c r="P711" s="337">
        <f>CompletedProjects[[#This Row],[Annual Emissions (MMTCO2)]]*40</f>
        <v>2.1010573512000001</v>
      </c>
      <c r="Q711" s="176"/>
      <c r="R711" s="178" t="s">
        <v>524</v>
      </c>
      <c r="S711" s="167"/>
      <c r="T711" s="178"/>
      <c r="U711" s="2"/>
      <c r="V711" s="2"/>
      <c r="Y711" s="2"/>
    </row>
    <row r="712" spans="1:25" ht="28.7">
      <c r="A712" s="181" t="s">
        <v>160</v>
      </c>
      <c r="B712" s="182" t="s">
        <v>519</v>
      </c>
      <c r="C712" s="182" t="s">
        <v>464</v>
      </c>
      <c r="D712" s="172">
        <f>70500000*'Dev Bank Share by Country'!$K$85</f>
        <v>11027610</v>
      </c>
      <c r="E712" s="183" t="s">
        <v>1400</v>
      </c>
      <c r="F712" s="183" t="s">
        <v>1399</v>
      </c>
      <c r="G712" s="267" t="s">
        <v>1401</v>
      </c>
      <c r="H712" s="183" t="s">
        <v>273</v>
      </c>
      <c r="I712" s="180" t="s">
        <v>283</v>
      </c>
      <c r="J712" s="183" t="s">
        <v>26</v>
      </c>
      <c r="K712" s="242">
        <v>40813</v>
      </c>
      <c r="L712" s="183" t="s">
        <v>1711</v>
      </c>
      <c r="M712" s="267"/>
      <c r="N712" s="338"/>
      <c r="O712" s="461">
        <f>CompletedProjects[[#This Row],[Power Plant Size (MW) or Share]]*0.593*9057*211.9*10^(-9)</f>
        <v>0</v>
      </c>
      <c r="P712" s="337">
        <f>CompletedProjects[[#This Row],[Annual Emissions (MMTCO2)]]*40</f>
        <v>0</v>
      </c>
      <c r="Q712" s="169"/>
      <c r="R712" s="185"/>
      <c r="S712" s="181"/>
      <c r="T712" s="185"/>
      <c r="U712" s="2"/>
      <c r="V712" s="2"/>
      <c r="Y712" s="2"/>
    </row>
    <row r="713" spans="1:25" ht="57.35">
      <c r="A713" s="167" t="s">
        <v>160</v>
      </c>
      <c r="B713" s="167" t="s">
        <v>519</v>
      </c>
      <c r="C713" s="194" t="s">
        <v>464</v>
      </c>
      <c r="D713" s="172">
        <f>200000000*'Dev Bank Share by Country'!$K$85</f>
        <v>31284000</v>
      </c>
      <c r="E713" s="173" t="s">
        <v>413</v>
      </c>
      <c r="F713" s="173" t="s">
        <v>523</v>
      </c>
      <c r="G713" s="262"/>
      <c r="H713" s="173" t="s">
        <v>95</v>
      </c>
      <c r="I713" s="180" t="s">
        <v>283</v>
      </c>
      <c r="J713" s="173" t="s">
        <v>277</v>
      </c>
      <c r="K713" s="241">
        <v>39554</v>
      </c>
      <c r="L713" s="167" t="s">
        <v>1319</v>
      </c>
      <c r="M713" s="262"/>
      <c r="N713" s="256">
        <f>600/13/2</f>
        <v>23.076923076923077</v>
      </c>
      <c r="O713" s="461">
        <f>CompletedProjects[[#This Row],[Power Plant Size (MW) or Share]]*0.593*9057*211.9*10^(-9)</f>
        <v>2.6263216890000003E-2</v>
      </c>
      <c r="P713" s="337">
        <f>CompletedProjects[[#This Row],[Annual Emissions (MMTCO2)]]*40</f>
        <v>1.0505286756000001</v>
      </c>
      <c r="Q713" s="203"/>
      <c r="R713" s="167" t="s">
        <v>641</v>
      </c>
      <c r="S713" s="167"/>
      <c r="T713" s="167"/>
      <c r="U713" s="2"/>
      <c r="V713" s="2"/>
      <c r="Y713" s="2"/>
    </row>
    <row r="714" spans="1:25" ht="28.7">
      <c r="A714" s="167" t="s">
        <v>160</v>
      </c>
      <c r="B714" s="171" t="s">
        <v>256</v>
      </c>
      <c r="C714" s="171" t="s">
        <v>337</v>
      </c>
      <c r="D714" s="172">
        <v>141489600</v>
      </c>
      <c r="E714" s="173" t="s">
        <v>264</v>
      </c>
      <c r="F714" s="173" t="s">
        <v>152</v>
      </c>
      <c r="G714" s="262" t="s">
        <v>686</v>
      </c>
      <c r="H714" s="171" t="s">
        <v>265</v>
      </c>
      <c r="I714" s="180" t="s">
        <v>283</v>
      </c>
      <c r="J714" s="173" t="s">
        <v>277</v>
      </c>
      <c r="K714" s="241">
        <v>40106</v>
      </c>
      <c r="L714" s="173"/>
      <c r="M714" s="262"/>
      <c r="N714" s="337">
        <v>300</v>
      </c>
      <c r="O714" s="461">
        <f>CompletedProjects[[#This Row],[Power Plant Size (MW) or Share]]*0.593*9057*211.9*10^(-9)</f>
        <v>0.34142181957000001</v>
      </c>
      <c r="P714" s="337">
        <f>CompletedProjects[[#This Row],[Annual Emissions (MMTCO2)]]*40</f>
        <v>13.656872782800001</v>
      </c>
      <c r="Q714" s="176"/>
      <c r="R714" s="178"/>
      <c r="S714" s="167"/>
      <c r="T714" s="178"/>
      <c r="U714" s="2"/>
      <c r="V714" s="2"/>
      <c r="Y714" s="2"/>
    </row>
    <row r="715" spans="1:25" ht="43">
      <c r="A715" s="167" t="s">
        <v>160</v>
      </c>
      <c r="B715" s="167" t="s">
        <v>519</v>
      </c>
      <c r="C715" s="194" t="s">
        <v>464</v>
      </c>
      <c r="D715" s="172">
        <f>27860000*'Dev Bank Share by Country'!$K$85</f>
        <v>4357861.2</v>
      </c>
      <c r="E715" s="173" t="s">
        <v>520</v>
      </c>
      <c r="F715" s="173" t="s">
        <v>521</v>
      </c>
      <c r="G715" s="262"/>
      <c r="H715" s="173" t="s">
        <v>63</v>
      </c>
      <c r="I715" s="180" t="s">
        <v>283</v>
      </c>
      <c r="J715" s="173" t="s">
        <v>26</v>
      </c>
      <c r="K715" s="241">
        <v>39357</v>
      </c>
      <c r="L715" s="167" t="s">
        <v>1320</v>
      </c>
      <c r="M715" s="262"/>
      <c r="N715" s="256">
        <f>1080/13</f>
        <v>83.07692307692308</v>
      </c>
      <c r="O715" s="461">
        <f>CompletedProjects[[#This Row],[Power Plant Size (MW) or Share]]*0.593*9057*211.9*10^(-9)</f>
        <v>9.4547580804000012E-2</v>
      </c>
      <c r="P715" s="337">
        <f>CompletedProjects[[#This Row],[Annual Emissions (MMTCO2)]]*40</f>
        <v>3.7819032321600003</v>
      </c>
      <c r="Q715" s="203"/>
      <c r="R715" s="167" t="s">
        <v>522</v>
      </c>
      <c r="S715" s="167"/>
      <c r="T715" s="167"/>
      <c r="U715" s="2"/>
      <c r="V715" s="2"/>
      <c r="Y715" s="2"/>
    </row>
    <row r="716" spans="1:25" ht="57.35">
      <c r="A716" s="167" t="s">
        <v>160</v>
      </c>
      <c r="B716" s="171" t="s">
        <v>87</v>
      </c>
      <c r="C716" s="171" t="s">
        <v>336</v>
      </c>
      <c r="D716" s="172">
        <v>90000000</v>
      </c>
      <c r="E716" s="173" t="s">
        <v>103</v>
      </c>
      <c r="F716" s="173" t="s">
        <v>104</v>
      </c>
      <c r="G716" s="262" t="s">
        <v>700</v>
      </c>
      <c r="H716" s="173" t="s">
        <v>65</v>
      </c>
      <c r="I716" s="180" t="s">
        <v>283</v>
      </c>
      <c r="J716" s="173" t="s">
        <v>26</v>
      </c>
      <c r="K716" s="241">
        <v>40108</v>
      </c>
      <c r="L716" s="197"/>
      <c r="M716" s="262"/>
      <c r="N716" s="337"/>
      <c r="O716" s="461">
        <f>CompletedProjects[[#This Row],[Power Plant Size (MW) or Share]]*0.593*9057*211.9*10^(-9)</f>
        <v>0</v>
      </c>
      <c r="P716" s="337">
        <f>CompletedProjects[[#This Row],[Annual Emissions (MMTCO2)]]*40</f>
        <v>0</v>
      </c>
      <c r="Q716" s="176"/>
      <c r="R716" s="173"/>
      <c r="S716" s="167"/>
      <c r="T716" s="173"/>
      <c r="U716" s="2"/>
      <c r="V716" s="2"/>
      <c r="Y716" s="2"/>
    </row>
    <row r="717" spans="1:25" ht="43">
      <c r="A717" s="167" t="s">
        <v>160</v>
      </c>
      <c r="B717" s="171" t="s">
        <v>87</v>
      </c>
      <c r="C717" s="171" t="s">
        <v>336</v>
      </c>
      <c r="D717" s="172">
        <v>39300000</v>
      </c>
      <c r="E717" s="173" t="s">
        <v>35</v>
      </c>
      <c r="F717" s="173" t="s">
        <v>105</v>
      </c>
      <c r="G717" s="262"/>
      <c r="H717" s="173" t="s">
        <v>78</v>
      </c>
      <c r="I717" s="180" t="s">
        <v>283</v>
      </c>
      <c r="J717" s="173" t="s">
        <v>277</v>
      </c>
      <c r="K717" s="241">
        <v>40179</v>
      </c>
      <c r="L717" s="173" t="s">
        <v>12</v>
      </c>
      <c r="M717" s="262"/>
      <c r="N717" s="337"/>
      <c r="O717" s="461">
        <f>CompletedProjects[[#This Row],[Power Plant Size (MW) or Share]]*0.593*9057*211.9*10^(-9)</f>
        <v>0</v>
      </c>
      <c r="P717" s="337">
        <f>CompletedProjects[[#This Row],[Annual Emissions (MMTCO2)]]*40</f>
        <v>0</v>
      </c>
      <c r="Q717" s="176"/>
      <c r="R717" s="167"/>
      <c r="S717" s="167"/>
      <c r="T717" s="167"/>
      <c r="U717" s="2"/>
      <c r="V717" s="2"/>
      <c r="Y717" s="2"/>
    </row>
    <row r="718" spans="1:25" ht="114.7">
      <c r="A718" s="167" t="s">
        <v>160</v>
      </c>
      <c r="B718" s="171" t="s">
        <v>559</v>
      </c>
      <c r="C718" s="171" t="s">
        <v>464</v>
      </c>
      <c r="D718" s="172">
        <v>17231475.814692095</v>
      </c>
      <c r="E718" s="173" t="s">
        <v>560</v>
      </c>
      <c r="F718" s="173" t="s">
        <v>561</v>
      </c>
      <c r="G718" s="262" t="s">
        <v>790</v>
      </c>
      <c r="H718" s="173" t="s">
        <v>56</v>
      </c>
      <c r="I718" s="173" t="s">
        <v>284</v>
      </c>
      <c r="J718" s="173" t="s">
        <v>79</v>
      </c>
      <c r="K718" s="240">
        <v>42278</v>
      </c>
      <c r="L718" s="173" t="s">
        <v>865</v>
      </c>
      <c r="M718" s="262" t="s">
        <v>866</v>
      </c>
      <c r="N718" s="337"/>
      <c r="O718" s="461">
        <f>CompletedProjects[[#This Row],[Power Plant Size (MW) or Share]]*0.593*9057*211.9*10^(-9)</f>
        <v>0</v>
      </c>
      <c r="P718" s="337">
        <f>CompletedProjects[[#This Row],[Annual Emissions (MMTCO2)]]*40</f>
        <v>0</v>
      </c>
      <c r="Q718" s="176"/>
      <c r="R718" s="178"/>
      <c r="S718" s="167"/>
      <c r="T718" s="178"/>
      <c r="U718" s="2"/>
      <c r="V718" s="2"/>
      <c r="Y718" s="2"/>
    </row>
    <row r="719" spans="1:25" ht="28.7">
      <c r="A719" s="173" t="s">
        <v>160</v>
      </c>
      <c r="B719" s="173" t="s">
        <v>508</v>
      </c>
      <c r="C719" s="173" t="s">
        <v>464</v>
      </c>
      <c r="D719" s="172">
        <f>147000000*'Dev Bank Share by Country'!$O$85</f>
        <v>7354736.3545013964</v>
      </c>
      <c r="E719" s="173" t="s">
        <v>471</v>
      </c>
      <c r="F719" s="173" t="s">
        <v>472</v>
      </c>
      <c r="G719" s="262" t="s">
        <v>930</v>
      </c>
      <c r="H719" s="173" t="s">
        <v>473</v>
      </c>
      <c r="I719" s="180" t="s">
        <v>283</v>
      </c>
      <c r="J719" s="173" t="s">
        <v>26</v>
      </c>
      <c r="K719" s="241">
        <v>39892</v>
      </c>
      <c r="L719" s="197"/>
      <c r="M719" s="262"/>
      <c r="N719" s="150">
        <f>720/12</f>
        <v>60</v>
      </c>
      <c r="O719" s="461">
        <f>CompletedProjects[[#This Row],[Power Plant Size (MW) or Share]]*0.593*9057*211.9*10^(-9)</f>
        <v>6.8284363914000015E-2</v>
      </c>
      <c r="P719" s="337">
        <f>CompletedProjects[[#This Row],[Annual Emissions (MMTCO2)]]*40</f>
        <v>2.7313745565600005</v>
      </c>
      <c r="Q719" s="203"/>
      <c r="R719" s="173"/>
      <c r="S719" s="167"/>
      <c r="T719" s="173"/>
      <c r="U719" s="2"/>
      <c r="V719" s="2"/>
      <c r="Y719" s="2"/>
    </row>
    <row r="720" spans="1:25" s="30" customFormat="1" ht="51" customHeight="1">
      <c r="A720" s="183" t="s">
        <v>160</v>
      </c>
      <c r="B720" s="183" t="s">
        <v>508</v>
      </c>
      <c r="C720" s="183" t="s">
        <v>464</v>
      </c>
      <c r="D720" s="172">
        <f>50000000*'Dev Bank Share by Country'!$O$85</f>
        <v>2501611.0049324478</v>
      </c>
      <c r="E720" s="173" t="s">
        <v>475</v>
      </c>
      <c r="F720" s="173" t="s">
        <v>476</v>
      </c>
      <c r="G720" s="262" t="s">
        <v>931</v>
      </c>
      <c r="H720" s="173" t="s">
        <v>473</v>
      </c>
      <c r="I720" s="180" t="s">
        <v>283</v>
      </c>
      <c r="J720" s="173" t="s">
        <v>26</v>
      </c>
      <c r="K720" s="241">
        <v>39892</v>
      </c>
      <c r="L720" s="197"/>
      <c r="M720" s="262"/>
      <c r="N720" s="462">
        <f>360/12</f>
        <v>30</v>
      </c>
      <c r="O720" s="461">
        <f>CompletedProjects[[#This Row],[Power Plant Size (MW) or Share]]*0.593*9057*211.9*10^(-9)</f>
        <v>3.4142181957000008E-2</v>
      </c>
      <c r="P720" s="337">
        <f>CompletedProjects[[#This Row],[Annual Emissions (MMTCO2)]]*40</f>
        <v>1.3656872782800002</v>
      </c>
      <c r="Q720" s="203"/>
      <c r="R720" s="173"/>
      <c r="S720" s="167"/>
      <c r="T720" s="173"/>
    </row>
    <row r="721" spans="1:25" ht="86">
      <c r="A721" s="167" t="s">
        <v>160</v>
      </c>
      <c r="B721" s="167" t="s">
        <v>511</v>
      </c>
      <c r="C721" s="167" t="s">
        <v>464</v>
      </c>
      <c r="D721" s="172">
        <f>8000000*'Dev Bank Share by Country'!$G$85</f>
        <v>506692.98840734112</v>
      </c>
      <c r="E721" s="173" t="s">
        <v>405</v>
      </c>
      <c r="F721" s="173" t="s">
        <v>406</v>
      </c>
      <c r="G721" s="262" t="s">
        <v>786</v>
      </c>
      <c r="H721" s="173" t="s">
        <v>65</v>
      </c>
      <c r="I721" s="180" t="s">
        <v>283</v>
      </c>
      <c r="J721" s="173" t="s">
        <v>26</v>
      </c>
      <c r="K721" s="241">
        <v>39234</v>
      </c>
      <c r="L721" s="173" t="s">
        <v>815</v>
      </c>
      <c r="M721" s="262" t="s">
        <v>806</v>
      </c>
      <c r="N721" s="256">
        <f>600/19</f>
        <v>31.578947368421051</v>
      </c>
      <c r="O721" s="461">
        <f>CompletedProjects[[#This Row],[Power Plant Size (MW) or Share]]*0.593*9057*211.9*10^(-9)</f>
        <v>3.5939138902105268E-2</v>
      </c>
      <c r="P721" s="337">
        <f>CompletedProjects[[#This Row],[Annual Emissions (MMTCO2)]]*40</f>
        <v>1.4375655560842107</v>
      </c>
      <c r="Q721" s="167"/>
      <c r="R721" s="167" t="s">
        <v>467</v>
      </c>
      <c r="S721" s="167" t="s">
        <v>633</v>
      </c>
      <c r="T721" s="167"/>
      <c r="U721" s="2"/>
      <c r="V721" s="2"/>
      <c r="Y721" s="2"/>
    </row>
    <row r="722" spans="1:25" ht="43">
      <c r="A722" s="167" t="s">
        <v>160</v>
      </c>
      <c r="B722" s="171" t="s">
        <v>87</v>
      </c>
      <c r="C722" s="171" t="s">
        <v>336</v>
      </c>
      <c r="D722" s="172">
        <v>50000000</v>
      </c>
      <c r="E722" s="173" t="s">
        <v>88</v>
      </c>
      <c r="F722" s="173" t="s">
        <v>193</v>
      </c>
      <c r="G722" s="262" t="s">
        <v>706</v>
      </c>
      <c r="H722" s="173" t="s">
        <v>85</v>
      </c>
      <c r="I722" s="173" t="s">
        <v>40</v>
      </c>
      <c r="J722" s="173" t="s">
        <v>40</v>
      </c>
      <c r="K722" s="241">
        <v>40220</v>
      </c>
      <c r="L722" s="173" t="s">
        <v>106</v>
      </c>
      <c r="M722" s="262"/>
      <c r="N722" s="337"/>
      <c r="O722" s="461">
        <f>CompletedProjects[[#This Row],[Power Plant Size (MW) or Share]]*0.593*9057*211.9*10^(-9)</f>
        <v>0</v>
      </c>
      <c r="P722" s="337">
        <f>CompletedProjects[[#This Row],[Annual Emissions (MMTCO2)]]*40</f>
        <v>0</v>
      </c>
      <c r="Q722" s="176"/>
      <c r="R722" s="171"/>
      <c r="S722" s="167"/>
      <c r="T722" s="171"/>
      <c r="U722" s="2"/>
      <c r="V722" s="2"/>
      <c r="Y722" s="2"/>
    </row>
    <row r="723" spans="1:25" ht="71.7">
      <c r="A723" s="167" t="s">
        <v>160</v>
      </c>
      <c r="B723" s="186" t="s">
        <v>519</v>
      </c>
      <c r="C723" s="186" t="s">
        <v>464</v>
      </c>
      <c r="D723" s="172">
        <f>902850000*'Dev Bank Share by Country'!$K$85</f>
        <v>141223797</v>
      </c>
      <c r="E723" s="173" t="s">
        <v>91</v>
      </c>
      <c r="F723" s="173" t="s">
        <v>536</v>
      </c>
      <c r="G723" s="262"/>
      <c r="H723" s="173" t="s">
        <v>63</v>
      </c>
      <c r="I723" s="180" t="s">
        <v>283</v>
      </c>
      <c r="J723" s="173" t="s">
        <v>26</v>
      </c>
      <c r="K723" s="241">
        <v>40168</v>
      </c>
      <c r="L723" s="173" t="s">
        <v>1323</v>
      </c>
      <c r="M723" s="262"/>
      <c r="N723" s="337"/>
      <c r="O723" s="461">
        <f>CompletedProjects[[#This Row],[Power Plant Size (MW) or Share]]*0.593*9057*211.9*10^(-9)</f>
        <v>0</v>
      </c>
      <c r="P723" s="337">
        <f>CompletedProjects[[#This Row],[Annual Emissions (MMTCO2)]]*40</f>
        <v>0</v>
      </c>
      <c r="Q723" s="176"/>
      <c r="R723" s="178" t="s">
        <v>537</v>
      </c>
      <c r="S723" s="167"/>
      <c r="T723" s="178"/>
      <c r="U723" s="2"/>
      <c r="V723" s="2"/>
      <c r="Y723" s="2"/>
    </row>
    <row r="724" spans="1:25" ht="114.7">
      <c r="A724" s="167" t="s">
        <v>160</v>
      </c>
      <c r="B724" s="167" t="s">
        <v>511</v>
      </c>
      <c r="C724" s="167" t="s">
        <v>464</v>
      </c>
      <c r="D724" s="172">
        <f>275000000*'Dev Bank Share by Country'!$G$85</f>
        <v>17417571.476502351</v>
      </c>
      <c r="E724" s="173" t="s">
        <v>413</v>
      </c>
      <c r="F724" s="173" t="s">
        <v>413</v>
      </c>
      <c r="G724" s="262" t="s">
        <v>766</v>
      </c>
      <c r="H724" s="173" t="s">
        <v>95</v>
      </c>
      <c r="I724" s="180" t="s">
        <v>283</v>
      </c>
      <c r="J724" s="173" t="s">
        <v>277</v>
      </c>
      <c r="K724" s="241">
        <v>39394</v>
      </c>
      <c r="L724" s="173" t="s">
        <v>917</v>
      </c>
      <c r="M724" s="262"/>
      <c r="N724" s="256">
        <f>600/7/2</f>
        <v>42.857142857142854</v>
      </c>
      <c r="O724" s="461">
        <f>CompletedProjects[[#This Row],[Power Plant Size (MW) or Share]]*0.593*9057*211.9*10^(-9)</f>
        <v>4.8774545652857132E-2</v>
      </c>
      <c r="P724" s="337">
        <f>CompletedProjects[[#This Row],[Annual Emissions (MMTCO2)]]*40</f>
        <v>1.9509818261142853</v>
      </c>
      <c r="Q724" s="167"/>
      <c r="R724" s="167" t="s">
        <v>640</v>
      </c>
      <c r="S724" s="167" t="s">
        <v>465</v>
      </c>
      <c r="T724" s="167"/>
      <c r="U724" s="2"/>
      <c r="V724" s="2"/>
      <c r="Y724" s="2"/>
    </row>
    <row r="725" spans="1:25" ht="100.35">
      <c r="A725" s="167" t="s">
        <v>160</v>
      </c>
      <c r="B725" s="171" t="s">
        <v>87</v>
      </c>
      <c r="C725" s="171" t="s">
        <v>336</v>
      </c>
      <c r="D725" s="172">
        <v>729000000</v>
      </c>
      <c r="E725" s="173" t="s">
        <v>110</v>
      </c>
      <c r="F725" s="173" t="s">
        <v>111</v>
      </c>
      <c r="G725" s="264" t="s">
        <v>1431</v>
      </c>
      <c r="H725" s="173" t="s">
        <v>85</v>
      </c>
      <c r="I725" s="180" t="s">
        <v>283</v>
      </c>
      <c r="J725" s="173" t="s">
        <v>26</v>
      </c>
      <c r="K725" s="241">
        <v>40245</v>
      </c>
      <c r="L725" s="173"/>
      <c r="M725" s="262" t="s">
        <v>1430</v>
      </c>
      <c r="N725" s="337">
        <v>815</v>
      </c>
      <c r="O725" s="461">
        <f>CompletedProjects[[#This Row],[Power Plant Size (MW) or Share]]*0.593*9057*211.9*10^(-9)</f>
        <v>0.92752927649849992</v>
      </c>
      <c r="P725" s="337">
        <f>CompletedProjects[[#This Row],[Annual Emissions (MMTCO2)]]*40</f>
        <v>37.10117105994</v>
      </c>
      <c r="Q725" s="176"/>
      <c r="R725" s="178"/>
      <c r="S725" s="167"/>
      <c r="T725" s="178"/>
      <c r="U725" s="2"/>
      <c r="V725" s="2"/>
      <c r="Y725" s="2"/>
    </row>
    <row r="726" spans="1:25" ht="57.35">
      <c r="A726" s="167" t="s">
        <v>160</v>
      </c>
      <c r="B726" s="171" t="s">
        <v>87</v>
      </c>
      <c r="C726" s="171" t="s">
        <v>336</v>
      </c>
      <c r="D726" s="172">
        <v>216000000</v>
      </c>
      <c r="E726" s="173" t="s">
        <v>107</v>
      </c>
      <c r="F726" s="173" t="s">
        <v>108</v>
      </c>
      <c r="G726" s="262" t="s">
        <v>688</v>
      </c>
      <c r="H726" s="173" t="s">
        <v>85</v>
      </c>
      <c r="I726" s="180" t="s">
        <v>283</v>
      </c>
      <c r="J726" s="173" t="s">
        <v>26</v>
      </c>
      <c r="K726" s="241">
        <v>40246</v>
      </c>
      <c r="L726" s="173" t="s">
        <v>109</v>
      </c>
      <c r="M726" s="262" t="s">
        <v>661</v>
      </c>
      <c r="N726" s="337">
        <v>660</v>
      </c>
      <c r="O726" s="461">
        <f>CompletedProjects[[#This Row],[Power Plant Size (MW) or Share]]*0.593*9057*211.9*10^(-9)</f>
        <v>0.75112800305400007</v>
      </c>
      <c r="P726" s="337">
        <f>CompletedProjects[[#This Row],[Annual Emissions (MMTCO2)]]*40</f>
        <v>30.045120122160004</v>
      </c>
      <c r="Q726" s="176"/>
      <c r="R726" s="178"/>
      <c r="S726" s="167"/>
      <c r="T726" s="178"/>
      <c r="U726" s="2"/>
      <c r="V726" s="2"/>
      <c r="Y726" s="2"/>
    </row>
    <row r="727" spans="1:25" ht="28.7">
      <c r="A727" s="173" t="s">
        <v>160</v>
      </c>
      <c r="B727" s="173" t="s">
        <v>509</v>
      </c>
      <c r="C727" s="173" t="s">
        <v>464</v>
      </c>
      <c r="D727" s="172">
        <v>7175565.8829942904</v>
      </c>
      <c r="E727" s="173" t="s">
        <v>429</v>
      </c>
      <c r="F727" s="173" t="s">
        <v>430</v>
      </c>
      <c r="G727" s="262" t="s">
        <v>928</v>
      </c>
      <c r="H727" s="173" t="s">
        <v>431</v>
      </c>
      <c r="I727" s="180" t="s">
        <v>283</v>
      </c>
      <c r="J727" s="173" t="s">
        <v>26</v>
      </c>
      <c r="K727" s="241">
        <v>40114</v>
      </c>
      <c r="L727" s="173"/>
      <c r="M727" s="262"/>
      <c r="N727" s="337">
        <f>600/15/2</f>
        <v>20</v>
      </c>
      <c r="O727" s="461">
        <f>CompletedProjects[[#This Row],[Power Plant Size (MW) or Share]]*0.593*9057*211.9*10^(-9)</f>
        <v>2.2761454637999997E-2</v>
      </c>
      <c r="P727" s="337">
        <f>CompletedProjects[[#This Row],[Annual Emissions (MMTCO2)]]*40</f>
        <v>0.91045818551999991</v>
      </c>
      <c r="Q727" s="176"/>
      <c r="R727" s="178" t="s">
        <v>467</v>
      </c>
      <c r="S727" s="167"/>
      <c r="T727" s="178"/>
      <c r="U727" s="2"/>
      <c r="V727" s="2"/>
      <c r="Y727" s="2"/>
    </row>
    <row r="728" spans="1:25" ht="28.7">
      <c r="A728" s="167" t="s">
        <v>160</v>
      </c>
      <c r="B728" s="171" t="s">
        <v>509</v>
      </c>
      <c r="C728" s="171" t="s">
        <v>464</v>
      </c>
      <c r="D728" s="172">
        <v>144987015.66453937</v>
      </c>
      <c r="E728" s="173" t="s">
        <v>41</v>
      </c>
      <c r="F728" s="173" t="s">
        <v>468</v>
      </c>
      <c r="G728" s="262" t="s">
        <v>927</v>
      </c>
      <c r="H728" s="173" t="s">
        <v>25</v>
      </c>
      <c r="I728" s="180" t="s">
        <v>283</v>
      </c>
      <c r="J728" s="173" t="s">
        <v>26</v>
      </c>
      <c r="K728" s="241">
        <v>40142</v>
      </c>
      <c r="L728" s="173"/>
      <c r="M728" s="262"/>
      <c r="N728" s="337">
        <f>4800/15/2</f>
        <v>160</v>
      </c>
      <c r="O728" s="461">
        <f>CompletedProjects[[#This Row],[Power Plant Size (MW) or Share]]*0.593*9057*211.9*10^(-9)</f>
        <v>0.18209163710399998</v>
      </c>
      <c r="P728" s="337">
        <f>CompletedProjects[[#This Row],[Annual Emissions (MMTCO2)]]*40</f>
        <v>7.2836654841599993</v>
      </c>
      <c r="Q728" s="176"/>
      <c r="R728" s="178" t="s">
        <v>642</v>
      </c>
      <c r="S728" s="167"/>
      <c r="T728" s="178"/>
      <c r="U728" s="2"/>
      <c r="V728" s="2"/>
      <c r="Y728" s="2"/>
    </row>
    <row r="729" spans="1:25" ht="43">
      <c r="A729" s="167" t="s">
        <v>160</v>
      </c>
      <c r="B729" s="171" t="s">
        <v>509</v>
      </c>
      <c r="C729" s="171" t="s">
        <v>464</v>
      </c>
      <c r="D729" s="172">
        <v>4544021.66296444</v>
      </c>
      <c r="E729" s="173" t="s">
        <v>469</v>
      </c>
      <c r="F729" s="173" t="s">
        <v>516</v>
      </c>
      <c r="G729" s="262" t="s">
        <v>929</v>
      </c>
      <c r="H729" s="173" t="s">
        <v>458</v>
      </c>
      <c r="I729" s="180" t="s">
        <v>283</v>
      </c>
      <c r="J729" s="173" t="s">
        <v>26</v>
      </c>
      <c r="K729" s="241">
        <v>40142</v>
      </c>
      <c r="L729" s="173"/>
      <c r="M729" s="262"/>
      <c r="N729" s="150">
        <f>125/15</f>
        <v>8.3333333333333339</v>
      </c>
      <c r="O729" s="461">
        <f>CompletedProjects[[#This Row],[Power Plant Size (MW) or Share]]*0.593*9057*211.9*10^(-9)</f>
        <v>9.4839394324999996E-3</v>
      </c>
      <c r="P729" s="337">
        <f>CompletedProjects[[#This Row],[Annual Emissions (MMTCO2)]]*40</f>
        <v>0.37935757729999997</v>
      </c>
      <c r="Q729" s="203"/>
      <c r="R729" s="167" t="s">
        <v>470</v>
      </c>
      <c r="S729" s="167"/>
      <c r="T729" s="167" t="s">
        <v>537</v>
      </c>
      <c r="U729" s="2"/>
      <c r="V729" s="2"/>
      <c r="Y729" s="2"/>
    </row>
    <row r="730" spans="1:25" ht="57.35">
      <c r="A730" s="181" t="s">
        <v>160</v>
      </c>
      <c r="B730" s="182" t="s">
        <v>519</v>
      </c>
      <c r="C730" s="182" t="s">
        <v>464</v>
      </c>
      <c r="D730" s="172">
        <f>450000000*'Dev Bank Share by Country'!$K$85</f>
        <v>70389000</v>
      </c>
      <c r="E730" s="183" t="s">
        <v>1395</v>
      </c>
      <c r="F730" s="183" t="s">
        <v>1393</v>
      </c>
      <c r="G730" s="267" t="s">
        <v>1394</v>
      </c>
      <c r="H730" s="183" t="s">
        <v>65</v>
      </c>
      <c r="I730" s="180" t="s">
        <v>283</v>
      </c>
      <c r="J730" s="183" t="s">
        <v>26</v>
      </c>
      <c r="K730" s="242">
        <v>39562</v>
      </c>
      <c r="L730" s="173" t="s">
        <v>525</v>
      </c>
      <c r="M730" s="262" t="s">
        <v>821</v>
      </c>
      <c r="N730" s="338">
        <f>4000/3/13</f>
        <v>102.56410256410255</v>
      </c>
      <c r="O730" s="461">
        <f>CompletedProjects[[#This Row],[Power Plant Size (MW) or Share]]*0.593*9057*211.9*10^(-9)</f>
        <v>0.11672540839999998</v>
      </c>
      <c r="P730" s="337">
        <f>CompletedProjects[[#This Row],[Annual Emissions (MMTCO2)]]*40</f>
        <v>4.6690163359999994</v>
      </c>
      <c r="Q730" s="176"/>
      <c r="R730" s="183" t="s">
        <v>1396</v>
      </c>
      <c r="S730" s="181"/>
      <c r="T730" s="183"/>
      <c r="U730" s="2"/>
      <c r="V730" s="2"/>
      <c r="Y730" s="2"/>
    </row>
    <row r="731" spans="1:25" ht="57.35">
      <c r="A731" s="167" t="s">
        <v>160</v>
      </c>
      <c r="B731" s="186" t="s">
        <v>519</v>
      </c>
      <c r="C731" s="186" t="s">
        <v>464</v>
      </c>
      <c r="D731" s="172"/>
      <c r="E731" s="173" t="s">
        <v>526</v>
      </c>
      <c r="F731" s="173" t="s">
        <v>527</v>
      </c>
      <c r="G731" s="174" t="s">
        <v>901</v>
      </c>
      <c r="H731" s="173" t="s">
        <v>95</v>
      </c>
      <c r="I731" s="180" t="s">
        <v>283</v>
      </c>
      <c r="J731" s="173" t="s">
        <v>277</v>
      </c>
      <c r="K731" s="241">
        <v>39601</v>
      </c>
      <c r="L731" s="172">
        <f>120000000*'Dev Bank Share by Country'!$K$85</f>
        <v>18770400</v>
      </c>
      <c r="M731" s="450"/>
      <c r="N731" s="337"/>
      <c r="O731" s="461">
        <f>CompletedProjects[[#This Row],[Power Plant Size (MW) or Share]]*0.593*9057*211.9*10^(-9)</f>
        <v>0</v>
      </c>
      <c r="P731" s="337">
        <f>CompletedProjects[[#This Row],[Annual Emissions (MMTCO2)]]*40</f>
        <v>0</v>
      </c>
      <c r="Q731" s="176"/>
      <c r="R731" s="178" t="s">
        <v>1321</v>
      </c>
      <c r="S731" s="167" t="s">
        <v>1688</v>
      </c>
      <c r="T731" s="178"/>
      <c r="U731" s="2"/>
      <c r="V731" s="2"/>
      <c r="Y731" s="2"/>
    </row>
    <row r="732" spans="1:25" ht="86">
      <c r="A732" s="167" t="s">
        <v>160</v>
      </c>
      <c r="B732" s="171" t="s">
        <v>87</v>
      </c>
      <c r="C732" s="171" t="s">
        <v>336</v>
      </c>
      <c r="D732" s="172">
        <v>273000000</v>
      </c>
      <c r="E732" s="173" t="s">
        <v>112</v>
      </c>
      <c r="F732" s="173" t="s">
        <v>113</v>
      </c>
      <c r="G732" s="273" t="s">
        <v>680</v>
      </c>
      <c r="H732" s="173" t="s">
        <v>78</v>
      </c>
      <c r="I732" s="180" t="s">
        <v>283</v>
      </c>
      <c r="J732" s="173" t="s">
        <v>26</v>
      </c>
      <c r="K732" s="241">
        <v>40260</v>
      </c>
      <c r="L732" s="173" t="s">
        <v>835</v>
      </c>
      <c r="M732" s="262" t="s">
        <v>836</v>
      </c>
      <c r="N732" s="337">
        <v>648</v>
      </c>
      <c r="O732" s="461">
        <f>CompletedProjects[[#This Row],[Power Plant Size (MW) or Share]]*0.593*9057*211.9*10^(-9)</f>
        <v>0.73747113027120015</v>
      </c>
      <c r="P732" s="337">
        <f>CompletedProjects[[#This Row],[Annual Emissions (MMTCO2)]]*40</f>
        <v>29.498845210848007</v>
      </c>
      <c r="Q732" s="176"/>
      <c r="R732" s="178"/>
      <c r="S732" s="167"/>
      <c r="T732" s="178"/>
      <c r="U732" s="2"/>
      <c r="V732" s="2"/>
      <c r="Y732" s="2"/>
    </row>
    <row r="733" spans="1:25" ht="43">
      <c r="A733" s="181" t="s">
        <v>160</v>
      </c>
      <c r="B733" s="182" t="s">
        <v>559</v>
      </c>
      <c r="C733" s="182" t="s">
        <v>464</v>
      </c>
      <c r="D733" s="172">
        <v>2515795.4689450455</v>
      </c>
      <c r="E733" s="173" t="s">
        <v>588</v>
      </c>
      <c r="F733" s="173" t="s">
        <v>588</v>
      </c>
      <c r="G733" s="265" t="s">
        <v>793</v>
      </c>
      <c r="H733" s="173" t="s">
        <v>201</v>
      </c>
      <c r="I733" s="173" t="s">
        <v>40</v>
      </c>
      <c r="J733" s="173" t="s">
        <v>40</v>
      </c>
      <c r="K733" s="240">
        <v>39422</v>
      </c>
      <c r="L733" s="167" t="s">
        <v>905</v>
      </c>
      <c r="M733" s="262"/>
      <c r="N733" s="337"/>
      <c r="O733" s="461">
        <f>CompletedProjects[[#This Row],[Power Plant Size (MW) or Share]]*0.593*9057*211.9*10^(-9)</f>
        <v>0</v>
      </c>
      <c r="P733" s="337">
        <f>CompletedProjects[[#This Row],[Annual Emissions (MMTCO2)]]*40</f>
        <v>0</v>
      </c>
      <c r="Q733" s="176"/>
      <c r="R733" s="178" t="s">
        <v>537</v>
      </c>
      <c r="S733" s="167"/>
      <c r="T733" s="178"/>
      <c r="U733" s="2"/>
      <c r="V733" s="2"/>
      <c r="Y733" s="2"/>
    </row>
    <row r="734" spans="1:25" ht="57.35">
      <c r="A734" s="224" t="s">
        <v>160</v>
      </c>
      <c r="B734" s="225" t="s">
        <v>87</v>
      </c>
      <c r="C734" s="225" t="s">
        <v>336</v>
      </c>
      <c r="D734" s="172">
        <v>90000000</v>
      </c>
      <c r="E734" s="197" t="s">
        <v>263</v>
      </c>
      <c r="F734" s="197" t="s">
        <v>1462</v>
      </c>
      <c r="G734" s="268" t="s">
        <v>1463</v>
      </c>
      <c r="H734" s="197" t="s">
        <v>63</v>
      </c>
      <c r="I734" s="173" t="s">
        <v>40</v>
      </c>
      <c r="J734" s="197" t="s">
        <v>1464</v>
      </c>
      <c r="K734" s="243">
        <v>40266</v>
      </c>
      <c r="L734" s="197" t="s">
        <v>1465</v>
      </c>
      <c r="M734" s="268"/>
      <c r="N734" s="339"/>
      <c r="O734" s="461">
        <f>CompletedProjects[[#This Row],[Power Plant Size (MW) or Share]]*0.593*9057*211.9*10^(-9)</f>
        <v>0</v>
      </c>
      <c r="P734" s="337">
        <f>CompletedProjects[[#This Row],[Annual Emissions (MMTCO2)]]*40</f>
        <v>0</v>
      </c>
      <c r="Q734" s="226"/>
      <c r="R734" s="227"/>
      <c r="S734" s="224"/>
      <c r="T734" s="227"/>
      <c r="U734" s="30"/>
    </row>
    <row r="735" spans="1:25" ht="43">
      <c r="A735" s="167" t="s">
        <v>160</v>
      </c>
      <c r="B735" s="171" t="s">
        <v>87</v>
      </c>
      <c r="C735" s="171" t="s">
        <v>336</v>
      </c>
      <c r="D735" s="172">
        <v>150000000</v>
      </c>
      <c r="E735" s="173" t="s">
        <v>114</v>
      </c>
      <c r="F735" s="173" t="s">
        <v>115</v>
      </c>
      <c r="G735" s="262" t="s">
        <v>691</v>
      </c>
      <c r="H735" s="173" t="s">
        <v>63</v>
      </c>
      <c r="I735" s="173" t="s">
        <v>40</v>
      </c>
      <c r="J735" s="173" t="s">
        <v>40</v>
      </c>
      <c r="K735" s="241">
        <v>40267</v>
      </c>
      <c r="L735" s="173" t="s">
        <v>116</v>
      </c>
      <c r="M735" s="262"/>
      <c r="N735" s="337"/>
      <c r="O735" s="461">
        <f>CompletedProjects[[#This Row],[Power Plant Size (MW) or Share]]*0.593*9057*211.9*10^(-9)</f>
        <v>0</v>
      </c>
      <c r="P735" s="337">
        <f>CompletedProjects[[#This Row],[Annual Emissions (MMTCO2)]]*40</f>
        <v>0</v>
      </c>
      <c r="Q735" s="176"/>
      <c r="R735" s="171"/>
      <c r="S735" s="167"/>
      <c r="T735" s="171"/>
      <c r="U735" s="30"/>
    </row>
    <row r="736" spans="1:25" ht="57.35">
      <c r="A736" s="167" t="s">
        <v>160</v>
      </c>
      <c r="B736" s="171" t="s">
        <v>256</v>
      </c>
      <c r="C736" s="171" t="s">
        <v>337</v>
      </c>
      <c r="D736" s="172">
        <v>392136400</v>
      </c>
      <c r="E736" s="173" t="s">
        <v>266</v>
      </c>
      <c r="F736" s="173" t="s">
        <v>257</v>
      </c>
      <c r="G736" s="262" t="s">
        <v>720</v>
      </c>
      <c r="H736" s="173" t="s">
        <v>85</v>
      </c>
      <c r="I736" s="173" t="s">
        <v>1507</v>
      </c>
      <c r="J736" s="173" t="s">
        <v>428</v>
      </c>
      <c r="K736" s="241">
        <v>40298</v>
      </c>
      <c r="L736" s="173"/>
      <c r="M736" s="262"/>
      <c r="N736" s="337"/>
      <c r="O736" s="461">
        <f>CompletedProjects[[#This Row],[Power Plant Size (MW) or Share]]*0.593*9057*211.9*10^(-9)</f>
        <v>0</v>
      </c>
      <c r="P736" s="337">
        <f>CompletedProjects[[#This Row],[Annual Emissions (MMTCO2)]]*40</f>
        <v>0</v>
      </c>
      <c r="Q736" s="176"/>
      <c r="R736" s="178"/>
      <c r="S736" s="167"/>
      <c r="T736" s="178"/>
      <c r="U736" s="30"/>
    </row>
    <row r="737" spans="1:25" ht="172">
      <c r="A737" s="167" t="s">
        <v>160</v>
      </c>
      <c r="B737" s="171" t="s">
        <v>87</v>
      </c>
      <c r="C737" s="171" t="s">
        <v>336</v>
      </c>
      <c r="D737" s="172">
        <v>110000000</v>
      </c>
      <c r="E737" s="173" t="s">
        <v>117</v>
      </c>
      <c r="F737" s="173" t="s">
        <v>118</v>
      </c>
      <c r="G737" s="262" t="s">
        <v>696</v>
      </c>
      <c r="H737" s="173" t="s">
        <v>19</v>
      </c>
      <c r="I737" s="180" t="s">
        <v>283</v>
      </c>
      <c r="J737" s="173" t="s">
        <v>26</v>
      </c>
      <c r="K737" s="240">
        <v>40544</v>
      </c>
      <c r="L737" s="197"/>
      <c r="M737" s="262" t="s">
        <v>818</v>
      </c>
      <c r="N737" s="337">
        <v>1320</v>
      </c>
      <c r="O737" s="461">
        <f>CompletedProjects[[#This Row],[Power Plant Size (MW) or Share]]*0.593*9057*211.9*10^(-9)</f>
        <v>1.5022560061080001</v>
      </c>
      <c r="P737" s="337">
        <f>CompletedProjects[[#This Row],[Annual Emissions (MMTCO2)]]*40</f>
        <v>60.090240244320007</v>
      </c>
      <c r="Q737" s="176"/>
      <c r="R737" s="174"/>
      <c r="S737" s="167"/>
      <c r="T737" s="174"/>
      <c r="U737" s="30"/>
    </row>
    <row r="738" spans="1:25" ht="71.7">
      <c r="A738" s="167" t="s">
        <v>160</v>
      </c>
      <c r="B738" s="171" t="s">
        <v>256</v>
      </c>
      <c r="C738" s="171" t="s">
        <v>337</v>
      </c>
      <c r="D738" s="172">
        <v>361209200</v>
      </c>
      <c r="E738" s="173" t="s">
        <v>263</v>
      </c>
      <c r="F738" s="173" t="s">
        <v>299</v>
      </c>
      <c r="G738" s="262" t="s">
        <v>718</v>
      </c>
      <c r="H738" s="173" t="s">
        <v>63</v>
      </c>
      <c r="I738" s="180" t="s">
        <v>283</v>
      </c>
      <c r="J738" s="173" t="s">
        <v>26</v>
      </c>
      <c r="K738" s="240">
        <v>40567</v>
      </c>
      <c r="L738" s="173" t="s">
        <v>267</v>
      </c>
      <c r="M738" s="262"/>
      <c r="N738" s="337">
        <v>600</v>
      </c>
      <c r="O738" s="461">
        <f>CompletedProjects[[#This Row],[Power Plant Size (MW) or Share]]*0.593*9057*211.9*10^(-9)</f>
        <v>0.68284363914000001</v>
      </c>
      <c r="P738" s="337">
        <f>CompletedProjects[[#This Row],[Annual Emissions (MMTCO2)]]*40</f>
        <v>27.313745565600001</v>
      </c>
      <c r="Q738" s="176"/>
      <c r="R738" s="178"/>
      <c r="S738" s="167"/>
      <c r="T738" s="178"/>
      <c r="U738" s="30"/>
    </row>
    <row r="739" spans="1:25" ht="57.35">
      <c r="A739" s="167" t="s">
        <v>160</v>
      </c>
      <c r="B739" s="171" t="s">
        <v>256</v>
      </c>
      <c r="C739" s="171" t="s">
        <v>337</v>
      </c>
      <c r="D739" s="172"/>
      <c r="E739" s="173" t="s">
        <v>266</v>
      </c>
      <c r="F739" s="173" t="s">
        <v>301</v>
      </c>
      <c r="G739" s="262" t="s">
        <v>723</v>
      </c>
      <c r="H739" s="173" t="s">
        <v>85</v>
      </c>
      <c r="I739" s="173" t="s">
        <v>284</v>
      </c>
      <c r="J739" s="173" t="s">
        <v>1498</v>
      </c>
      <c r="K739" s="240">
        <v>40613</v>
      </c>
      <c r="L739" s="173" t="s">
        <v>268</v>
      </c>
      <c r="M739" s="262"/>
      <c r="N739" s="337"/>
      <c r="O739" s="461">
        <f>CompletedProjects[[#This Row],[Power Plant Size (MW) or Share]]*0.593*9057*211.9*10^(-9)</f>
        <v>0</v>
      </c>
      <c r="P739" s="337">
        <f>CompletedProjects[[#This Row],[Annual Emissions (MMTCO2)]]*40</f>
        <v>0</v>
      </c>
      <c r="Q739" s="176"/>
      <c r="R739" s="178"/>
      <c r="S739" s="167"/>
      <c r="T739" s="178"/>
      <c r="U739" s="30"/>
    </row>
    <row r="740" spans="1:25" ht="172">
      <c r="A740" s="167" t="s">
        <v>160</v>
      </c>
      <c r="B740" s="167" t="s">
        <v>512</v>
      </c>
      <c r="C740" s="167" t="s">
        <v>464</v>
      </c>
      <c r="D740" s="172">
        <f>11250000*'Dev Bank Share by Country'!$E$85</f>
        <v>952878.79529482953</v>
      </c>
      <c r="E740" s="173" t="s">
        <v>270</v>
      </c>
      <c r="F740" s="173" t="s">
        <v>433</v>
      </c>
      <c r="G740" s="262" t="s">
        <v>767</v>
      </c>
      <c r="H740" s="173" t="s">
        <v>201</v>
      </c>
      <c r="I740" s="173" t="s">
        <v>40</v>
      </c>
      <c r="J740" s="173" t="s">
        <v>417</v>
      </c>
      <c r="K740" s="241">
        <v>40673</v>
      </c>
      <c r="L740" s="173" t="s">
        <v>828</v>
      </c>
      <c r="M740" s="273" t="s">
        <v>827</v>
      </c>
      <c r="N740" s="256"/>
      <c r="O740" s="461">
        <f>CompletedProjects[[#This Row],[Power Plant Size (MW) or Share]]*0.593*9057*211.9*10^(-9)</f>
        <v>0</v>
      </c>
      <c r="P740" s="337">
        <f>CompletedProjects[[#This Row],[Annual Emissions (MMTCO2)]]*40</f>
        <v>0</v>
      </c>
      <c r="Q740" s="167"/>
      <c r="R740" s="167" t="s">
        <v>400</v>
      </c>
      <c r="S740" s="167" t="s">
        <v>465</v>
      </c>
      <c r="T740" s="167"/>
      <c r="U740" s="30"/>
    </row>
    <row r="741" spans="1:25" ht="43">
      <c r="A741" s="167" t="s">
        <v>160</v>
      </c>
      <c r="B741" s="171" t="s">
        <v>87</v>
      </c>
      <c r="C741" s="171" t="s">
        <v>336</v>
      </c>
      <c r="D741" s="172">
        <v>144770000</v>
      </c>
      <c r="E741" s="173" t="s">
        <v>119</v>
      </c>
      <c r="F741" s="173" t="s">
        <v>150</v>
      </c>
      <c r="G741" s="262" t="s">
        <v>687</v>
      </c>
      <c r="H741" s="173" t="s">
        <v>11</v>
      </c>
      <c r="I741" s="173" t="s">
        <v>40</v>
      </c>
      <c r="J741" s="173" t="s">
        <v>40</v>
      </c>
      <c r="K741" s="240">
        <v>40686</v>
      </c>
      <c r="L741" s="173" t="s">
        <v>872</v>
      </c>
      <c r="M741" s="262" t="s">
        <v>871</v>
      </c>
      <c r="N741" s="337"/>
      <c r="O741" s="461">
        <f>CompletedProjects[[#This Row],[Power Plant Size (MW) or Share]]*0.593*9057*211.9*10^(-9)</f>
        <v>0</v>
      </c>
      <c r="P741" s="337">
        <f>CompletedProjects[[#This Row],[Annual Emissions (MMTCO2)]]*40</f>
        <v>0</v>
      </c>
      <c r="Q741" s="176">
        <v>2.8</v>
      </c>
      <c r="R741" s="171"/>
      <c r="S741" s="167"/>
      <c r="T741" s="171"/>
      <c r="U741" s="30"/>
    </row>
    <row r="742" spans="1:25" ht="43">
      <c r="A742" s="167" t="s">
        <v>160</v>
      </c>
      <c r="B742" s="171" t="s">
        <v>87</v>
      </c>
      <c r="C742" s="171" t="s">
        <v>336</v>
      </c>
      <c r="D742" s="172">
        <v>58604153.850000001</v>
      </c>
      <c r="E742" s="173" t="s">
        <v>120</v>
      </c>
      <c r="F742" s="173" t="s">
        <v>62</v>
      </c>
      <c r="G742" s="262"/>
      <c r="H742" s="173" t="s">
        <v>63</v>
      </c>
      <c r="I742" s="180" t="s">
        <v>283</v>
      </c>
      <c r="J742" s="173" t="s">
        <v>26</v>
      </c>
      <c r="K742" s="240">
        <v>40767</v>
      </c>
      <c r="L742" s="173" t="s">
        <v>293</v>
      </c>
      <c r="M742" s="262" t="s">
        <v>661</v>
      </c>
      <c r="N742" s="337">
        <v>600</v>
      </c>
      <c r="O742" s="461">
        <f>CompletedProjects[[#This Row],[Power Plant Size (MW) or Share]]*0.593*9057*211.9*10^(-9)</f>
        <v>0.68284363914000001</v>
      </c>
      <c r="P742" s="337">
        <f>CompletedProjects[[#This Row],[Annual Emissions (MMTCO2)]]*40</f>
        <v>27.313745565600001</v>
      </c>
      <c r="Q742" s="176"/>
      <c r="R742" s="178" t="s">
        <v>351</v>
      </c>
      <c r="S742" s="167"/>
      <c r="T742" s="178"/>
      <c r="U742" s="30"/>
    </row>
    <row r="743" spans="1:25" ht="100.35">
      <c r="A743" s="167" t="s">
        <v>160</v>
      </c>
      <c r="B743" s="171" t="s">
        <v>87</v>
      </c>
      <c r="C743" s="171" t="s">
        <v>336</v>
      </c>
      <c r="D743" s="172">
        <v>80763764.13000001</v>
      </c>
      <c r="E743" s="173" t="s">
        <v>121</v>
      </c>
      <c r="F743" s="173" t="s">
        <v>1446</v>
      </c>
      <c r="G743" s="264" t="s">
        <v>659</v>
      </c>
      <c r="H743" s="173" t="s">
        <v>65</v>
      </c>
      <c r="I743" s="180" t="s">
        <v>283</v>
      </c>
      <c r="J743" s="173" t="s">
        <v>26</v>
      </c>
      <c r="K743" s="240">
        <v>40767</v>
      </c>
      <c r="L743" s="197"/>
      <c r="M743" s="262" t="s">
        <v>838</v>
      </c>
      <c r="N743" s="337">
        <v>700</v>
      </c>
      <c r="O743" s="461">
        <f>CompletedProjects[[#This Row],[Power Plant Size (MW) or Share]]*0.593*9057*211.9*10^(-9)</f>
        <v>0.79665091232999996</v>
      </c>
      <c r="P743" s="337">
        <f>CompletedProjects[[#This Row],[Annual Emissions (MMTCO2)]]*40</f>
        <v>31.866036493199999</v>
      </c>
      <c r="Q743" s="176"/>
      <c r="R743" s="173" t="s">
        <v>837</v>
      </c>
      <c r="S743" s="167"/>
      <c r="T743" s="173"/>
      <c r="U743" s="30"/>
    </row>
    <row r="744" spans="1:25" ht="43">
      <c r="A744" s="167" t="s">
        <v>160</v>
      </c>
      <c r="B744" s="171" t="s">
        <v>256</v>
      </c>
      <c r="C744" s="171" t="s">
        <v>337</v>
      </c>
      <c r="D744" s="172">
        <v>516224000</v>
      </c>
      <c r="E744" s="173" t="s">
        <v>263</v>
      </c>
      <c r="F744" s="173" t="s">
        <v>300</v>
      </c>
      <c r="G744" s="262" t="s">
        <v>722</v>
      </c>
      <c r="H744" s="173" t="s">
        <v>63</v>
      </c>
      <c r="I744" s="180" t="s">
        <v>283</v>
      </c>
      <c r="J744" s="173" t="s">
        <v>26</v>
      </c>
      <c r="K744" s="240">
        <v>40849</v>
      </c>
      <c r="L744" s="173"/>
      <c r="M744" s="262"/>
      <c r="N744" s="337">
        <v>600</v>
      </c>
      <c r="O744" s="461">
        <f>CompletedProjects[[#This Row],[Power Plant Size (MW) or Share]]*0.593*9057*211.9*10^(-9)</f>
        <v>0.68284363914000001</v>
      </c>
      <c r="P744" s="337">
        <f>CompletedProjects[[#This Row],[Annual Emissions (MMTCO2)]]*40</f>
        <v>27.313745565600001</v>
      </c>
      <c r="Q744" s="176"/>
      <c r="R744" s="178"/>
      <c r="S744" s="167"/>
      <c r="T744" s="178"/>
      <c r="U744" s="30"/>
    </row>
    <row r="745" spans="1:25" ht="71.7">
      <c r="A745" s="181" t="s">
        <v>160</v>
      </c>
      <c r="B745" s="182" t="s">
        <v>559</v>
      </c>
      <c r="C745" s="182" t="s">
        <v>464</v>
      </c>
      <c r="D745" s="172">
        <v>6837946.7313470766</v>
      </c>
      <c r="E745" s="173" t="s">
        <v>591</v>
      </c>
      <c r="F745" s="173" t="s">
        <v>590</v>
      </c>
      <c r="G745" s="265" t="s">
        <v>794</v>
      </c>
      <c r="H745" s="173" t="s">
        <v>45</v>
      </c>
      <c r="I745" s="180" t="s">
        <v>283</v>
      </c>
      <c r="J745" s="173" t="s">
        <v>277</v>
      </c>
      <c r="K745" s="240">
        <v>39553</v>
      </c>
      <c r="L745" s="173" t="s">
        <v>906</v>
      </c>
      <c r="M745" s="262"/>
      <c r="N745" s="337"/>
      <c r="O745" s="461">
        <f>CompletedProjects[[#This Row],[Power Plant Size (MW) or Share]]*0.593*9057*211.9*10^(-9)</f>
        <v>0</v>
      </c>
      <c r="P745" s="337">
        <f>CompletedProjects[[#This Row],[Annual Emissions (MMTCO2)]]*40</f>
        <v>0</v>
      </c>
      <c r="Q745" s="176"/>
      <c r="R745" s="178"/>
      <c r="S745" s="167"/>
      <c r="T745" s="178"/>
      <c r="U745" s="30"/>
    </row>
    <row r="746" spans="1:25" ht="43">
      <c r="A746" s="181" t="s">
        <v>160</v>
      </c>
      <c r="B746" s="182" t="s">
        <v>559</v>
      </c>
      <c r="C746" s="182" t="s">
        <v>464</v>
      </c>
      <c r="D746" s="172"/>
      <c r="E746" s="173" t="s">
        <v>611</v>
      </c>
      <c r="F746" s="173" t="s">
        <v>612</v>
      </c>
      <c r="G746" s="262" t="s">
        <v>804</v>
      </c>
      <c r="H746" s="173" t="s">
        <v>613</v>
      </c>
      <c r="I746" s="180" t="s">
        <v>283</v>
      </c>
      <c r="J746" s="173" t="s">
        <v>277</v>
      </c>
      <c r="K746" s="240">
        <v>39814</v>
      </c>
      <c r="L746" s="197"/>
      <c r="M746" s="262"/>
      <c r="N746" s="337"/>
      <c r="O746" s="461">
        <f>CompletedProjects[[#This Row],[Power Plant Size (MW) or Share]]*0.593*9057*211.9*10^(-9)</f>
        <v>0</v>
      </c>
      <c r="P746" s="337">
        <f>CompletedProjects[[#This Row],[Annual Emissions (MMTCO2)]]*40</f>
        <v>0</v>
      </c>
      <c r="Q746" s="176"/>
      <c r="R746" s="173" t="s">
        <v>914</v>
      </c>
      <c r="S746" s="167" t="s">
        <v>1688</v>
      </c>
      <c r="T746" s="173"/>
      <c r="U746" s="30"/>
    </row>
    <row r="747" spans="1:25" ht="71.7">
      <c r="A747" s="167" t="s">
        <v>160</v>
      </c>
      <c r="B747" s="171" t="s">
        <v>256</v>
      </c>
      <c r="C747" s="171" t="s">
        <v>337</v>
      </c>
      <c r="D747" s="172">
        <v>367276000</v>
      </c>
      <c r="E747" s="173" t="s">
        <v>269</v>
      </c>
      <c r="F747" s="173" t="s">
        <v>258</v>
      </c>
      <c r="G747" s="262" t="s">
        <v>719</v>
      </c>
      <c r="H747" s="173" t="s">
        <v>56</v>
      </c>
      <c r="I747" s="180" t="s">
        <v>283</v>
      </c>
      <c r="J747" s="173" t="s">
        <v>277</v>
      </c>
      <c r="K747" s="240">
        <v>40871</v>
      </c>
      <c r="L747" s="173"/>
      <c r="M747" s="262"/>
      <c r="N747" s="337">
        <v>1650</v>
      </c>
      <c r="O747" s="461">
        <f>CompletedProjects[[#This Row],[Power Plant Size (MW) or Share]]*0.593*9057*211.9*10^(-9)</f>
        <v>1.8778200076349998</v>
      </c>
      <c r="P747" s="337">
        <f>CompletedProjects[[#This Row],[Annual Emissions (MMTCO2)]]*40</f>
        <v>75.112800305399986</v>
      </c>
      <c r="Q747" s="176"/>
      <c r="R747" s="178"/>
      <c r="S747" s="167"/>
      <c r="T747" s="178"/>
      <c r="U747" s="30"/>
    </row>
    <row r="748" spans="1:25" ht="71.7">
      <c r="A748" s="181" t="s">
        <v>160</v>
      </c>
      <c r="B748" s="182" t="s">
        <v>559</v>
      </c>
      <c r="C748" s="182" t="s">
        <v>464</v>
      </c>
      <c r="D748" s="172">
        <v>4652498.4699668651</v>
      </c>
      <c r="E748" s="173" t="s">
        <v>604</v>
      </c>
      <c r="F748" s="173" t="s">
        <v>605</v>
      </c>
      <c r="G748" s="262" t="s">
        <v>802</v>
      </c>
      <c r="H748" s="173" t="s">
        <v>493</v>
      </c>
      <c r="I748" s="180" t="s">
        <v>283</v>
      </c>
      <c r="J748" s="173" t="s">
        <v>277</v>
      </c>
      <c r="K748" s="240">
        <v>40589</v>
      </c>
      <c r="L748" s="173" t="s">
        <v>1693</v>
      </c>
      <c r="M748" s="262"/>
      <c r="N748" s="337">
        <f>154/12</f>
        <v>12.833333333333334</v>
      </c>
      <c r="O748" s="461">
        <f>CompletedProjects[[#This Row],[Power Plant Size (MW) or Share]]*0.593*9057*211.9*10^(-9)</f>
        <v>1.460526672605E-2</v>
      </c>
      <c r="P748" s="337">
        <f>CompletedProjects[[#This Row],[Annual Emissions (MMTCO2)]]*40</f>
        <v>0.58421066904200003</v>
      </c>
      <c r="Q748" s="176"/>
      <c r="R748" s="178" t="s">
        <v>537</v>
      </c>
      <c r="S748" s="167"/>
      <c r="T748" s="178"/>
      <c r="U748" s="30"/>
    </row>
    <row r="749" spans="1:25" ht="43">
      <c r="A749" s="167" t="s">
        <v>160</v>
      </c>
      <c r="B749" s="171" t="s">
        <v>161</v>
      </c>
      <c r="C749" s="171" t="s">
        <v>336</v>
      </c>
      <c r="D749" s="172">
        <v>33600000</v>
      </c>
      <c r="E749" s="173" t="s">
        <v>168</v>
      </c>
      <c r="F749" s="173" t="s">
        <v>1447</v>
      </c>
      <c r="G749" s="264" t="s">
        <v>749</v>
      </c>
      <c r="H749" s="173" t="s">
        <v>65</v>
      </c>
      <c r="I749" s="180" t="s">
        <v>283</v>
      </c>
      <c r="J749" s="173" t="s">
        <v>26</v>
      </c>
      <c r="K749" s="240">
        <v>40905</v>
      </c>
      <c r="L749" s="197"/>
      <c r="M749" s="262" t="s">
        <v>758</v>
      </c>
      <c r="N749" s="337">
        <v>700</v>
      </c>
      <c r="O749" s="461">
        <f>CompletedProjects[[#This Row],[Power Plant Size (MW) or Share]]*0.593*9057*211.9*10^(-9)</f>
        <v>0.79665091232999996</v>
      </c>
      <c r="P749" s="337">
        <f>CompletedProjects[[#This Row],[Annual Emissions (MMTCO2)]]*40</f>
        <v>31.866036493199999</v>
      </c>
      <c r="Q749" s="176"/>
      <c r="R749" s="173" t="s">
        <v>169</v>
      </c>
      <c r="S749" s="167"/>
      <c r="T749" s="173"/>
      <c r="U749" s="2"/>
      <c r="V749" s="2"/>
      <c r="Y749" s="2"/>
    </row>
    <row r="750" spans="1:25" ht="43">
      <c r="A750" s="167" t="s">
        <v>160</v>
      </c>
      <c r="B750" s="171" t="s">
        <v>559</v>
      </c>
      <c r="C750" s="171" t="s">
        <v>464</v>
      </c>
      <c r="D750" s="172">
        <v>2958299.7678663386</v>
      </c>
      <c r="E750" s="173" t="s">
        <v>587</v>
      </c>
      <c r="F750" s="173" t="s">
        <v>587</v>
      </c>
      <c r="G750" s="262" t="s">
        <v>792</v>
      </c>
      <c r="H750" s="173" t="s">
        <v>39</v>
      </c>
      <c r="I750" s="180" t="s">
        <v>283</v>
      </c>
      <c r="J750" s="173" t="s">
        <v>277</v>
      </c>
      <c r="K750" s="240">
        <v>39415</v>
      </c>
      <c r="L750" s="167" t="s">
        <v>904</v>
      </c>
      <c r="M750" s="262"/>
      <c r="N750" s="338">
        <f>550/12</f>
        <v>45.833333333333336</v>
      </c>
      <c r="O750" s="461">
        <f>CompletedProjects[[#This Row],[Power Plant Size (MW) or Share]]*0.593*9057*211.9*10^(-9)</f>
        <v>5.2161666878750006E-2</v>
      </c>
      <c r="P750" s="337">
        <f>CompletedProjects[[#This Row],[Annual Emissions (MMTCO2)]]*40</f>
        <v>2.0864666751500001</v>
      </c>
      <c r="Q750" s="169"/>
      <c r="R750" s="178" t="s">
        <v>537</v>
      </c>
      <c r="S750" s="181"/>
      <c r="T750" s="178"/>
      <c r="U750" s="2"/>
      <c r="V750" s="2"/>
      <c r="Y750" s="2"/>
    </row>
    <row r="751" spans="1:25" ht="43">
      <c r="A751" s="167" t="s">
        <v>160</v>
      </c>
      <c r="B751" s="171" t="s">
        <v>87</v>
      </c>
      <c r="C751" s="171" t="s">
        <v>336</v>
      </c>
      <c r="D751" s="172">
        <v>6000000</v>
      </c>
      <c r="E751" s="173" t="s">
        <v>35</v>
      </c>
      <c r="F751" s="173" t="s">
        <v>122</v>
      </c>
      <c r="G751" s="262"/>
      <c r="H751" s="173" t="s">
        <v>78</v>
      </c>
      <c r="I751" s="180" t="s">
        <v>283</v>
      </c>
      <c r="J751" s="173" t="s">
        <v>277</v>
      </c>
      <c r="K751" s="240">
        <v>40909</v>
      </c>
      <c r="L751" s="173" t="s">
        <v>12</v>
      </c>
      <c r="M751" s="262"/>
      <c r="N751" s="337"/>
      <c r="O751" s="461">
        <f>CompletedProjects[[#This Row],[Power Plant Size (MW) or Share]]*0.593*9057*211.9*10^(-9)</f>
        <v>0</v>
      </c>
      <c r="P751" s="337">
        <f>CompletedProjects[[#This Row],[Annual Emissions (MMTCO2)]]*40</f>
        <v>0</v>
      </c>
      <c r="Q751" s="176"/>
      <c r="R751" s="167"/>
      <c r="S751" s="167"/>
      <c r="T751" s="167"/>
      <c r="U751" s="2"/>
      <c r="V751" s="2"/>
      <c r="Y751" s="2"/>
    </row>
    <row r="752" spans="1:25" ht="43">
      <c r="A752" s="167" t="s">
        <v>160</v>
      </c>
      <c r="B752" s="171" t="s">
        <v>87</v>
      </c>
      <c r="C752" s="171" t="s">
        <v>336</v>
      </c>
      <c r="D752" s="172">
        <v>259000000</v>
      </c>
      <c r="E752" s="173" t="s">
        <v>123</v>
      </c>
      <c r="F752" s="173" t="s">
        <v>124</v>
      </c>
      <c r="G752" s="262" t="s">
        <v>683</v>
      </c>
      <c r="H752" s="173" t="s">
        <v>11</v>
      </c>
      <c r="I752" s="173" t="s">
        <v>40</v>
      </c>
      <c r="J752" s="173" t="s">
        <v>40</v>
      </c>
      <c r="K752" s="240">
        <v>40966</v>
      </c>
      <c r="L752" s="173"/>
      <c r="M752" s="262"/>
      <c r="N752" s="337"/>
      <c r="O752" s="461">
        <f>CompletedProjects[[#This Row],[Power Plant Size (MW) or Share]]*0.593*9057*211.9*10^(-9)</f>
        <v>0</v>
      </c>
      <c r="P752" s="337">
        <f>CompletedProjects[[#This Row],[Annual Emissions (MMTCO2)]]*40</f>
        <v>0</v>
      </c>
      <c r="Q752" s="176">
        <v>6.5</v>
      </c>
      <c r="R752" s="171"/>
      <c r="S752" s="167"/>
      <c r="T752" s="171"/>
      <c r="U752" s="2"/>
      <c r="V752" s="2"/>
      <c r="Y752" s="2"/>
    </row>
    <row r="753" spans="1:25" ht="43">
      <c r="A753" s="167" t="s">
        <v>160</v>
      </c>
      <c r="B753" s="171" t="s">
        <v>87</v>
      </c>
      <c r="C753" s="171" t="s">
        <v>336</v>
      </c>
      <c r="D753" s="172">
        <v>619000000</v>
      </c>
      <c r="E753" s="173" t="s">
        <v>125</v>
      </c>
      <c r="F753" s="173" t="s">
        <v>126</v>
      </c>
      <c r="G753" s="262" t="s">
        <v>668</v>
      </c>
      <c r="H753" s="173" t="s">
        <v>127</v>
      </c>
      <c r="I753" s="173" t="s">
        <v>40</v>
      </c>
      <c r="J753" s="173" t="s">
        <v>40</v>
      </c>
      <c r="K753" s="240">
        <v>40975</v>
      </c>
      <c r="L753" s="173"/>
      <c r="M753" s="262"/>
      <c r="N753" s="337"/>
      <c r="O753" s="461">
        <f>CompletedProjects[[#This Row],[Power Plant Size (MW) or Share]]*0.593*9057*211.9*10^(-9)</f>
        <v>0</v>
      </c>
      <c r="P753" s="337">
        <f>CompletedProjects[[#This Row],[Annual Emissions (MMTCO2)]]*40</f>
        <v>0</v>
      </c>
      <c r="Q753" s="176">
        <v>35</v>
      </c>
      <c r="R753" s="171"/>
      <c r="S753" s="167"/>
      <c r="T753" s="171"/>
      <c r="U753" s="2"/>
      <c r="V753" s="2"/>
      <c r="Y753" s="2"/>
    </row>
    <row r="754" spans="1:25" ht="43">
      <c r="A754" s="167" t="s">
        <v>160</v>
      </c>
      <c r="B754" s="171" t="s">
        <v>87</v>
      </c>
      <c r="C754" s="171" t="s">
        <v>336</v>
      </c>
      <c r="D754" s="172">
        <v>169400000</v>
      </c>
      <c r="E754" s="173" t="s">
        <v>128</v>
      </c>
      <c r="F754" s="173" t="s">
        <v>129</v>
      </c>
      <c r="G754" s="262" t="s">
        <v>690</v>
      </c>
      <c r="H754" s="173" t="s">
        <v>20</v>
      </c>
      <c r="I754" s="173" t="s">
        <v>40</v>
      </c>
      <c r="J754" s="173" t="s">
        <v>40</v>
      </c>
      <c r="K754" s="240">
        <v>40998</v>
      </c>
      <c r="L754" s="173"/>
      <c r="M754" s="262"/>
      <c r="N754" s="337"/>
      <c r="O754" s="461">
        <f>CompletedProjects[[#This Row],[Power Plant Size (MW) or Share]]*0.593*9057*211.9*10^(-9)</f>
        <v>0</v>
      </c>
      <c r="P754" s="337">
        <f>CompletedProjects[[#This Row],[Annual Emissions (MMTCO2)]]*40</f>
        <v>0</v>
      </c>
      <c r="Q754" s="176">
        <v>3.6</v>
      </c>
      <c r="R754" s="171"/>
      <c r="S754" s="167"/>
      <c r="T754" s="171"/>
      <c r="U754" s="2"/>
      <c r="V754" s="2"/>
      <c r="Y754" s="2"/>
    </row>
    <row r="755" spans="1:25" ht="86">
      <c r="A755" s="167" t="s">
        <v>160</v>
      </c>
      <c r="B755" s="186" t="s">
        <v>519</v>
      </c>
      <c r="C755" s="186" t="s">
        <v>464</v>
      </c>
      <c r="D755" s="172">
        <f>200000*'Dev Bank Share by Country'!$K$85</f>
        <v>31284</v>
      </c>
      <c r="E755" s="173" t="s">
        <v>528</v>
      </c>
      <c r="F755" s="173" t="s">
        <v>529</v>
      </c>
      <c r="G755" s="262"/>
      <c r="H755" s="173" t="s">
        <v>239</v>
      </c>
      <c r="I755" s="180" t="s">
        <v>283</v>
      </c>
      <c r="J755" s="173" t="s">
        <v>26</v>
      </c>
      <c r="K755" s="241">
        <v>39729</v>
      </c>
      <c r="L755" s="183" t="s">
        <v>1709</v>
      </c>
      <c r="M755" s="262"/>
      <c r="N755" s="337"/>
      <c r="O755" s="461">
        <f>CompletedProjects[[#This Row],[Power Plant Size (MW) or Share]]*0.593*9057*211.9*10^(-9)</f>
        <v>0</v>
      </c>
      <c r="P755" s="337">
        <f>CompletedProjects[[#This Row],[Annual Emissions (MMTCO2)]]*40</f>
        <v>0</v>
      </c>
      <c r="Q755" s="176"/>
      <c r="R755" s="178" t="s">
        <v>530</v>
      </c>
      <c r="S755" s="167"/>
      <c r="T755" s="178"/>
      <c r="U755" s="30"/>
    </row>
    <row r="756" spans="1:25" ht="71.7">
      <c r="A756" s="167" t="s">
        <v>160</v>
      </c>
      <c r="B756" s="171" t="s">
        <v>161</v>
      </c>
      <c r="C756" s="171" t="s">
        <v>336</v>
      </c>
      <c r="D756" s="172">
        <v>144990826.75584</v>
      </c>
      <c r="E756" s="173" t="s">
        <v>170</v>
      </c>
      <c r="F756" s="173" t="s">
        <v>171</v>
      </c>
      <c r="G756" s="262" t="s">
        <v>750</v>
      </c>
      <c r="H756" s="173" t="s">
        <v>132</v>
      </c>
      <c r="I756" s="173" t="s">
        <v>284</v>
      </c>
      <c r="J756" s="173" t="s">
        <v>1498</v>
      </c>
      <c r="K756" s="240">
        <v>41081</v>
      </c>
      <c r="L756" s="173"/>
      <c r="M756" s="262" t="s">
        <v>759</v>
      </c>
      <c r="N756" s="337">
        <v>233.33</v>
      </c>
      <c r="O756" s="461">
        <f>CompletedProjects[[#This Row],[Power Plant Size (MW) or Share]]*0.593*9057*211.9*10^(-9)</f>
        <v>0.26554651053422701</v>
      </c>
      <c r="P756" s="337">
        <f>CompletedProjects[[#This Row],[Annual Emissions (MMTCO2)]]*40</f>
        <v>10.62186042136908</v>
      </c>
      <c r="Q756" s="176"/>
      <c r="R756" s="178" t="s">
        <v>347</v>
      </c>
      <c r="S756" s="167"/>
      <c r="T756" s="178"/>
      <c r="U756" s="30"/>
    </row>
    <row r="757" spans="1:25" ht="71.7">
      <c r="A757" s="167" t="s">
        <v>160</v>
      </c>
      <c r="B757" s="171" t="s">
        <v>87</v>
      </c>
      <c r="C757" s="171" t="s">
        <v>336</v>
      </c>
      <c r="D757" s="172">
        <v>216000000</v>
      </c>
      <c r="E757" s="173" t="s">
        <v>130</v>
      </c>
      <c r="F757" s="173" t="s">
        <v>131</v>
      </c>
      <c r="G757" s="262" t="s">
        <v>682</v>
      </c>
      <c r="H757" s="173" t="s">
        <v>132</v>
      </c>
      <c r="I757" s="173" t="s">
        <v>284</v>
      </c>
      <c r="J757" s="173" t="s">
        <v>1498</v>
      </c>
      <c r="K757" s="240">
        <v>41081</v>
      </c>
      <c r="L757" s="173" t="s">
        <v>840</v>
      </c>
      <c r="M757" s="262" t="s">
        <v>839</v>
      </c>
      <c r="N757" s="337">
        <v>233.33</v>
      </c>
      <c r="O757" s="461">
        <f>CompletedProjects[[#This Row],[Power Plant Size (MW) or Share]]*0.593*9057*211.9*10^(-9)</f>
        <v>0.26554651053422701</v>
      </c>
      <c r="P757" s="337">
        <f>CompletedProjects[[#This Row],[Annual Emissions (MMTCO2)]]*40</f>
        <v>10.62186042136908</v>
      </c>
      <c r="Q757" s="176"/>
      <c r="R757" s="178" t="s">
        <v>347</v>
      </c>
      <c r="S757" s="167"/>
      <c r="T757" s="178"/>
      <c r="U757" s="30"/>
    </row>
    <row r="758" spans="1:25" ht="43">
      <c r="A758" s="167" t="s">
        <v>160</v>
      </c>
      <c r="B758" s="171" t="s">
        <v>161</v>
      </c>
      <c r="C758" s="171" t="s">
        <v>336</v>
      </c>
      <c r="D758" s="172">
        <v>200000000</v>
      </c>
      <c r="E758" s="173" t="s">
        <v>172</v>
      </c>
      <c r="F758" s="173" t="s">
        <v>173</v>
      </c>
      <c r="G758" s="262" t="s">
        <v>751</v>
      </c>
      <c r="H758" s="173" t="s">
        <v>45</v>
      </c>
      <c r="I758" s="173" t="s">
        <v>284</v>
      </c>
      <c r="J758" s="173" t="s">
        <v>1498</v>
      </c>
      <c r="K758" s="240">
        <v>41108</v>
      </c>
      <c r="L758" s="173"/>
      <c r="M758" s="262"/>
      <c r="N758" s="337"/>
      <c r="O758" s="461">
        <f>CompletedProjects[[#This Row],[Power Plant Size (MW) or Share]]*0.593*9057*211.9*10^(-9)</f>
        <v>0</v>
      </c>
      <c r="P758" s="337">
        <f>CompletedProjects[[#This Row],[Annual Emissions (MMTCO2)]]*40</f>
        <v>0</v>
      </c>
      <c r="Q758" s="176"/>
      <c r="R758" s="178"/>
      <c r="S758" s="167"/>
      <c r="T758" s="178"/>
      <c r="U758" s="30"/>
    </row>
    <row r="759" spans="1:25" ht="43">
      <c r="A759" s="181" t="s">
        <v>160</v>
      </c>
      <c r="B759" s="182" t="s">
        <v>559</v>
      </c>
      <c r="C759" s="182" t="s">
        <v>464</v>
      </c>
      <c r="D759" s="172">
        <v>11114301.9004764</v>
      </c>
      <c r="E759" s="173" t="s">
        <v>600</v>
      </c>
      <c r="F759" s="173" t="s">
        <v>601</v>
      </c>
      <c r="G759" s="262" t="s">
        <v>800</v>
      </c>
      <c r="H759" s="173" t="s">
        <v>481</v>
      </c>
      <c r="I759" s="180" t="s">
        <v>283</v>
      </c>
      <c r="J759" s="173" t="s">
        <v>277</v>
      </c>
      <c r="K759" s="240">
        <v>40544</v>
      </c>
      <c r="L759" s="173" t="s">
        <v>909</v>
      </c>
      <c r="M759" s="267"/>
      <c r="N759" s="338">
        <f>600/12</f>
        <v>50</v>
      </c>
      <c r="O759" s="461">
        <f>CompletedProjects[[#This Row],[Power Plant Size (MW) or Share]]*0.593*9057*211.9*10^(-9)</f>
        <v>5.6903636595000001E-2</v>
      </c>
      <c r="P759" s="337">
        <f>CompletedProjects[[#This Row],[Annual Emissions (MMTCO2)]]*40</f>
        <v>2.2761454637999998</v>
      </c>
      <c r="Q759" s="169"/>
      <c r="R759" s="185"/>
      <c r="S759" s="181"/>
      <c r="T759" s="185"/>
      <c r="U759" s="30"/>
    </row>
    <row r="760" spans="1:25" ht="57.35">
      <c r="A760" s="167" t="s">
        <v>160</v>
      </c>
      <c r="B760" s="171" t="s">
        <v>87</v>
      </c>
      <c r="C760" s="171" t="s">
        <v>336</v>
      </c>
      <c r="D760" s="172">
        <v>289946268.55040002</v>
      </c>
      <c r="E760" s="173" t="s">
        <v>133</v>
      </c>
      <c r="F760" s="173" t="s">
        <v>134</v>
      </c>
      <c r="G760" s="262" t="s">
        <v>677</v>
      </c>
      <c r="H760" s="173" t="s">
        <v>11</v>
      </c>
      <c r="I760" s="173" t="s">
        <v>284</v>
      </c>
      <c r="J760" s="173" t="s">
        <v>1498</v>
      </c>
      <c r="K760" s="240">
        <v>41136</v>
      </c>
      <c r="L760" s="173" t="s">
        <v>874</v>
      </c>
      <c r="M760" s="262" t="s">
        <v>873</v>
      </c>
      <c r="N760" s="337"/>
      <c r="O760" s="461">
        <f>CompletedProjects[[#This Row],[Power Plant Size (MW) or Share]]*0.593*9057*211.9*10^(-9)</f>
        <v>0</v>
      </c>
      <c r="P760" s="337">
        <f>CompletedProjects[[#This Row],[Annual Emissions (MMTCO2)]]*40</f>
        <v>0</v>
      </c>
      <c r="Q760" s="176">
        <v>2</v>
      </c>
      <c r="R760" s="171"/>
      <c r="S760" s="167"/>
      <c r="T760" s="171"/>
      <c r="U760" s="30"/>
    </row>
    <row r="761" spans="1:25" ht="43">
      <c r="A761" s="167" t="s">
        <v>160</v>
      </c>
      <c r="B761" s="171" t="s">
        <v>87</v>
      </c>
      <c r="C761" s="171" t="s">
        <v>336</v>
      </c>
      <c r="D761" s="172">
        <v>261000000</v>
      </c>
      <c r="E761" s="173" t="s">
        <v>135</v>
      </c>
      <c r="F761" s="173" t="s">
        <v>136</v>
      </c>
      <c r="G761" s="262" t="s">
        <v>681</v>
      </c>
      <c r="H761" s="173" t="s">
        <v>20</v>
      </c>
      <c r="I761" s="173" t="s">
        <v>284</v>
      </c>
      <c r="J761" s="173" t="s">
        <v>1498</v>
      </c>
      <c r="K761" s="240">
        <v>41149</v>
      </c>
      <c r="L761" s="173"/>
      <c r="M761" s="262"/>
      <c r="N761" s="337"/>
      <c r="O761" s="461">
        <f>CompletedProjects[[#This Row],[Power Plant Size (MW) or Share]]*0.593*9057*211.9*10^(-9)</f>
        <v>0</v>
      </c>
      <c r="P761" s="337">
        <f>CompletedProjects[[#This Row],[Annual Emissions (MMTCO2)]]*40</f>
        <v>0</v>
      </c>
      <c r="Q761" s="176">
        <v>10</v>
      </c>
      <c r="R761" s="171"/>
      <c r="S761" s="167"/>
      <c r="T761" s="171"/>
      <c r="U761" s="30"/>
    </row>
    <row r="762" spans="1:25" ht="43">
      <c r="A762" s="167" t="s">
        <v>160</v>
      </c>
      <c r="B762" s="171" t="s">
        <v>87</v>
      </c>
      <c r="C762" s="171" t="s">
        <v>336</v>
      </c>
      <c r="D762" s="172">
        <v>302374294.84829998</v>
      </c>
      <c r="E762" s="173" t="s">
        <v>137</v>
      </c>
      <c r="F762" s="173" t="s">
        <v>138</v>
      </c>
      <c r="G762" s="262" t="s">
        <v>676</v>
      </c>
      <c r="H762" s="173" t="s">
        <v>11</v>
      </c>
      <c r="I762" s="173" t="s">
        <v>284</v>
      </c>
      <c r="J762" s="173" t="s">
        <v>1498</v>
      </c>
      <c r="K762" s="240">
        <v>41150</v>
      </c>
      <c r="L762" s="173" t="s">
        <v>876</v>
      </c>
      <c r="M762" s="262" t="s">
        <v>875</v>
      </c>
      <c r="N762" s="337"/>
      <c r="O762" s="461">
        <f>CompletedProjects[[#This Row],[Power Plant Size (MW) or Share]]*0.593*9057*211.9*10^(-9)</f>
        <v>0</v>
      </c>
      <c r="P762" s="337">
        <f>CompletedProjects[[#This Row],[Annual Emissions (MMTCO2)]]*40</f>
        <v>0</v>
      </c>
      <c r="Q762" s="176">
        <v>2.8</v>
      </c>
      <c r="R762" s="171"/>
      <c r="S762" s="167"/>
      <c r="T762" s="171"/>
      <c r="U762" s="30"/>
    </row>
    <row r="763" spans="1:25" ht="43">
      <c r="A763" s="167" t="s">
        <v>160</v>
      </c>
      <c r="B763" s="171" t="s">
        <v>161</v>
      </c>
      <c r="C763" s="171" t="s">
        <v>336</v>
      </c>
      <c r="D763" s="172">
        <v>937000000</v>
      </c>
      <c r="E763" s="173" t="s">
        <v>125</v>
      </c>
      <c r="F763" s="173" t="s">
        <v>174</v>
      </c>
      <c r="G763" s="262" t="s">
        <v>756</v>
      </c>
      <c r="H763" s="173" t="s">
        <v>127</v>
      </c>
      <c r="I763" s="173" t="s">
        <v>284</v>
      </c>
      <c r="J763" s="173" t="s">
        <v>1498</v>
      </c>
      <c r="K763" s="240">
        <v>41240</v>
      </c>
      <c r="L763" s="173" t="s">
        <v>183</v>
      </c>
      <c r="M763" s="262" t="s">
        <v>760</v>
      </c>
      <c r="N763" s="337"/>
      <c r="O763" s="461">
        <f>CompletedProjects[[#This Row],[Power Plant Size (MW) or Share]]*0.593*9057*211.9*10^(-9)</f>
        <v>0</v>
      </c>
      <c r="P763" s="337">
        <f>CompletedProjects[[#This Row],[Annual Emissions (MMTCO2)]]*40</f>
        <v>0</v>
      </c>
      <c r="Q763" s="176">
        <v>35</v>
      </c>
      <c r="R763" s="178"/>
      <c r="S763" s="167"/>
      <c r="T763" s="178"/>
      <c r="U763" s="30"/>
    </row>
    <row r="764" spans="1:25" ht="57.35">
      <c r="A764" s="181" t="s">
        <v>160</v>
      </c>
      <c r="B764" s="182" t="s">
        <v>445</v>
      </c>
      <c r="C764" s="182" t="s">
        <v>464</v>
      </c>
      <c r="D764" s="172">
        <f>450000000*'Dev Bank Share by Country'!$G$85</f>
        <v>28501480.597912937</v>
      </c>
      <c r="E764" s="183" t="s">
        <v>1395</v>
      </c>
      <c r="F764" s="183" t="s">
        <v>1445</v>
      </c>
      <c r="G764" s="267" t="s">
        <v>1394</v>
      </c>
      <c r="H764" s="183" t="s">
        <v>65</v>
      </c>
      <c r="I764" s="180" t="s">
        <v>283</v>
      </c>
      <c r="J764" s="183" t="s">
        <v>26</v>
      </c>
      <c r="K764" s="242">
        <v>39562</v>
      </c>
      <c r="L764" s="183" t="s">
        <v>1396</v>
      </c>
      <c r="M764" s="262" t="s">
        <v>768</v>
      </c>
      <c r="N764" s="338">
        <f>4000/3/20</f>
        <v>66.666666666666657</v>
      </c>
      <c r="O764" s="461">
        <f>CompletedProjects[[#This Row],[Power Plant Size (MW) or Share]]*0.593*9057*211.9*10^(-9)</f>
        <v>7.5871515459999983E-2</v>
      </c>
      <c r="P764" s="337">
        <f>CompletedProjects[[#This Row],[Annual Emissions (MMTCO2)]]*40</f>
        <v>3.0348606183999993</v>
      </c>
      <c r="Q764" s="169"/>
      <c r="R764" s="185"/>
      <c r="S764" s="181"/>
      <c r="T764" s="185"/>
      <c r="U764" s="30"/>
    </row>
    <row r="765" spans="1:25" ht="43">
      <c r="A765" s="167" t="s">
        <v>160</v>
      </c>
      <c r="B765" s="171" t="s">
        <v>87</v>
      </c>
      <c r="C765" s="171" t="s">
        <v>336</v>
      </c>
      <c r="D765" s="172">
        <v>1473932460</v>
      </c>
      <c r="E765" s="173" t="s">
        <v>139</v>
      </c>
      <c r="F765" s="173" t="s">
        <v>140</v>
      </c>
      <c r="G765" s="262" t="s">
        <v>664</v>
      </c>
      <c r="H765" s="173" t="s">
        <v>141</v>
      </c>
      <c r="I765" s="173" t="s">
        <v>284</v>
      </c>
      <c r="J765" s="173" t="s">
        <v>1498</v>
      </c>
      <c r="K765" s="240">
        <v>41360</v>
      </c>
      <c r="L765" s="173"/>
      <c r="M765" s="262"/>
      <c r="N765" s="337"/>
      <c r="O765" s="461">
        <f>CompletedProjects[[#This Row],[Power Plant Size (MW) or Share]]*0.593*9057*211.9*10^(-9)</f>
        <v>0</v>
      </c>
      <c r="P765" s="337">
        <f>CompletedProjects[[#This Row],[Annual Emissions (MMTCO2)]]*40</f>
        <v>0</v>
      </c>
      <c r="Q765" s="176">
        <v>5.5</v>
      </c>
      <c r="R765" s="171"/>
      <c r="S765" s="167"/>
      <c r="T765" s="171"/>
      <c r="U765" s="2"/>
      <c r="V765" s="2"/>
      <c r="Y765" s="2"/>
    </row>
    <row r="766" spans="1:25" ht="43">
      <c r="A766" s="167" t="s">
        <v>160</v>
      </c>
      <c r="B766" s="171" t="s">
        <v>256</v>
      </c>
      <c r="C766" s="171" t="s">
        <v>337</v>
      </c>
      <c r="D766" s="172">
        <v>18371826</v>
      </c>
      <c r="E766" s="173" t="s">
        <v>259</v>
      </c>
      <c r="F766" s="173" t="s">
        <v>260</v>
      </c>
      <c r="G766" s="262" t="s">
        <v>715</v>
      </c>
      <c r="H766" s="173" t="s">
        <v>85</v>
      </c>
      <c r="I766" s="173" t="s">
        <v>284</v>
      </c>
      <c r="J766" s="173" t="s">
        <v>1498</v>
      </c>
      <c r="K766" s="240">
        <v>41361</v>
      </c>
      <c r="L766" s="173"/>
      <c r="M766" s="457" t="s">
        <v>724</v>
      </c>
      <c r="N766" s="337">
        <v>990</v>
      </c>
      <c r="O766" s="461">
        <f>CompletedProjects[[#This Row],[Power Plant Size (MW) or Share]]*0.593*9057*211.9*10^(-9)</f>
        <v>1.1266920045809998</v>
      </c>
      <c r="P766" s="337">
        <f>CompletedProjects[[#This Row],[Annual Emissions (MMTCO2)]]*40</f>
        <v>45.067680183239993</v>
      </c>
      <c r="Q766" s="176"/>
      <c r="R766" s="208"/>
      <c r="S766" s="167"/>
      <c r="T766" s="208"/>
      <c r="U766" s="2"/>
      <c r="V766" s="2"/>
      <c r="Y766" s="2"/>
    </row>
    <row r="767" spans="1:25" ht="43">
      <c r="A767" s="167" t="s">
        <v>160</v>
      </c>
      <c r="B767" s="171" t="s">
        <v>161</v>
      </c>
      <c r="C767" s="171" t="s">
        <v>336</v>
      </c>
      <c r="D767" s="172">
        <v>250000000</v>
      </c>
      <c r="E767" s="173" t="s">
        <v>175</v>
      </c>
      <c r="F767" s="173" t="s">
        <v>176</v>
      </c>
      <c r="G767" s="262" t="s">
        <v>752</v>
      </c>
      <c r="H767" s="173" t="s">
        <v>144</v>
      </c>
      <c r="I767" s="173" t="s">
        <v>284</v>
      </c>
      <c r="J767" s="173" t="s">
        <v>1498</v>
      </c>
      <c r="K767" s="240">
        <v>41361</v>
      </c>
      <c r="L767" s="173"/>
      <c r="M767" s="262"/>
      <c r="N767" s="337">
        <v>236</v>
      </c>
      <c r="O767" s="461">
        <f>CompletedProjects[[#This Row],[Power Plant Size (MW) or Share]]*0.593*9057*211.9*10^(-9)</f>
        <v>0.26858516472839999</v>
      </c>
      <c r="P767" s="337">
        <f>CompletedProjects[[#This Row],[Annual Emissions (MMTCO2)]]*40</f>
        <v>10.743406589136001</v>
      </c>
      <c r="Q767" s="176"/>
      <c r="R767" s="178" t="s">
        <v>346</v>
      </c>
      <c r="S767" s="167"/>
      <c r="T767" s="178"/>
      <c r="U767" s="2"/>
      <c r="V767" s="2"/>
      <c r="Y767" s="2"/>
    </row>
    <row r="768" spans="1:25" ht="57.35">
      <c r="A768" s="167" t="s">
        <v>160</v>
      </c>
      <c r="B768" s="171" t="s">
        <v>87</v>
      </c>
      <c r="C768" s="171" t="s">
        <v>336</v>
      </c>
      <c r="D768" s="172">
        <v>500000000</v>
      </c>
      <c r="E768" s="173" t="s">
        <v>142</v>
      </c>
      <c r="F768" s="173" t="s">
        <v>143</v>
      </c>
      <c r="G768" s="262" t="s">
        <v>667</v>
      </c>
      <c r="H768" s="173" t="s">
        <v>144</v>
      </c>
      <c r="I768" s="173" t="s">
        <v>284</v>
      </c>
      <c r="J768" s="173" t="s">
        <v>1498</v>
      </c>
      <c r="K768" s="240">
        <v>41361</v>
      </c>
      <c r="L768" s="173" t="s">
        <v>354</v>
      </c>
      <c r="M768" s="262" t="s">
        <v>661</v>
      </c>
      <c r="N768" s="337">
        <v>236</v>
      </c>
      <c r="O768" s="461">
        <f>CompletedProjects[[#This Row],[Power Plant Size (MW) or Share]]*0.593*9057*211.9*10^(-9)</f>
        <v>0.26858516472839999</v>
      </c>
      <c r="P768" s="337">
        <f>CompletedProjects[[#This Row],[Annual Emissions (MMTCO2)]]*40</f>
        <v>10.743406589136001</v>
      </c>
      <c r="Q768" s="176"/>
      <c r="R768" s="178" t="s">
        <v>346</v>
      </c>
      <c r="S768" s="167"/>
      <c r="T768" s="178"/>
      <c r="U768" s="2"/>
      <c r="V768" s="2"/>
      <c r="Y768" s="2"/>
    </row>
    <row r="769" spans="1:25" ht="43">
      <c r="A769" s="167" t="s">
        <v>160</v>
      </c>
      <c r="B769" s="171" t="s">
        <v>87</v>
      </c>
      <c r="C769" s="171" t="s">
        <v>336</v>
      </c>
      <c r="D769" s="172">
        <v>350000000</v>
      </c>
      <c r="E769" s="173" t="s">
        <v>145</v>
      </c>
      <c r="F769" s="173" t="s">
        <v>146</v>
      </c>
      <c r="G769" s="262" t="s">
        <v>675</v>
      </c>
      <c r="H769" s="173" t="s">
        <v>11</v>
      </c>
      <c r="I769" s="173" t="s">
        <v>284</v>
      </c>
      <c r="J769" s="173" t="s">
        <v>1498</v>
      </c>
      <c r="K769" s="240">
        <v>41410</v>
      </c>
      <c r="L769" s="173"/>
      <c r="M769" s="262"/>
      <c r="N769" s="337"/>
      <c r="O769" s="461">
        <f>CompletedProjects[[#This Row],[Power Plant Size (MW) or Share]]*0.593*9057*211.9*10^(-9)</f>
        <v>0</v>
      </c>
      <c r="P769" s="337">
        <f>CompletedProjects[[#This Row],[Annual Emissions (MMTCO2)]]*40</f>
        <v>0</v>
      </c>
      <c r="Q769" s="176">
        <v>6.9</v>
      </c>
      <c r="R769" s="171"/>
      <c r="S769" s="167"/>
      <c r="T769" s="171"/>
      <c r="U769" s="2"/>
      <c r="V769" s="2"/>
      <c r="Y769" s="2"/>
    </row>
    <row r="770" spans="1:25" ht="86">
      <c r="A770" s="167" t="s">
        <v>160</v>
      </c>
      <c r="B770" s="171" t="s">
        <v>161</v>
      </c>
      <c r="C770" s="171" t="s">
        <v>336</v>
      </c>
      <c r="D770" s="172">
        <v>56000000</v>
      </c>
      <c r="E770" s="173" t="s">
        <v>177</v>
      </c>
      <c r="F770" s="173" t="s">
        <v>148</v>
      </c>
      <c r="G770" s="262" t="s">
        <v>699</v>
      </c>
      <c r="H770" s="173" t="s">
        <v>63</v>
      </c>
      <c r="I770" s="180" t="s">
        <v>283</v>
      </c>
      <c r="J770" s="173" t="s">
        <v>26</v>
      </c>
      <c r="K770" s="240">
        <v>41508</v>
      </c>
      <c r="L770" s="173"/>
      <c r="M770" s="262"/>
      <c r="N770" s="337">
        <v>400</v>
      </c>
      <c r="O770" s="461">
        <f>CompletedProjects[[#This Row],[Power Plant Size (MW) or Share]]*0.593*9057*211.9*10^(-9)</f>
        <v>0.45522909276000001</v>
      </c>
      <c r="P770" s="337">
        <f>CompletedProjects[[#This Row],[Annual Emissions (MMTCO2)]]*40</f>
        <v>18.209163710399999</v>
      </c>
      <c r="Q770" s="176"/>
      <c r="R770" s="178" t="s">
        <v>352</v>
      </c>
      <c r="S770" s="167"/>
      <c r="T770" s="178"/>
      <c r="U770" s="2"/>
      <c r="V770" s="2"/>
      <c r="Y770" s="2"/>
    </row>
    <row r="771" spans="1:25" ht="71.7">
      <c r="A771" s="167" t="s">
        <v>160</v>
      </c>
      <c r="B771" s="171" t="s">
        <v>87</v>
      </c>
      <c r="C771" s="171" t="s">
        <v>336</v>
      </c>
      <c r="D771" s="172">
        <v>85000000</v>
      </c>
      <c r="E771" s="173" t="s">
        <v>147</v>
      </c>
      <c r="F771" s="173" t="s">
        <v>148</v>
      </c>
      <c r="G771" s="262" t="s">
        <v>699</v>
      </c>
      <c r="H771" s="173" t="s">
        <v>63</v>
      </c>
      <c r="I771" s="180" t="s">
        <v>283</v>
      </c>
      <c r="J771" s="173" t="s">
        <v>26</v>
      </c>
      <c r="K771" s="240">
        <v>41508</v>
      </c>
      <c r="L771" s="173"/>
      <c r="M771" s="262" t="s">
        <v>841</v>
      </c>
      <c r="N771" s="337">
        <v>400</v>
      </c>
      <c r="O771" s="461">
        <f>CompletedProjects[[#This Row],[Power Plant Size (MW) or Share]]*0.593*9057*211.9*10^(-9)</f>
        <v>0.45522909276000001</v>
      </c>
      <c r="P771" s="337">
        <f>CompletedProjects[[#This Row],[Annual Emissions (MMTCO2)]]*40</f>
        <v>18.209163710399999</v>
      </c>
      <c r="Q771" s="176"/>
      <c r="R771" s="178" t="s">
        <v>352</v>
      </c>
      <c r="S771" s="167"/>
      <c r="T771" s="178"/>
      <c r="U771" s="2"/>
      <c r="V771" s="2"/>
      <c r="Y771" s="2"/>
    </row>
    <row r="772" spans="1:25" ht="71.7">
      <c r="A772" s="167" t="s">
        <v>160</v>
      </c>
      <c r="B772" s="171" t="s">
        <v>256</v>
      </c>
      <c r="C772" s="171" t="s">
        <v>337</v>
      </c>
      <c r="D772" s="172">
        <v>42010000</v>
      </c>
      <c r="E772" s="173" t="s">
        <v>270</v>
      </c>
      <c r="F772" s="173" t="s">
        <v>203</v>
      </c>
      <c r="G772" s="262" t="s">
        <v>705</v>
      </c>
      <c r="H772" s="173" t="s">
        <v>201</v>
      </c>
      <c r="I772" s="180" t="s">
        <v>283</v>
      </c>
      <c r="J772" s="173" t="s">
        <v>277</v>
      </c>
      <c r="K772" s="240">
        <v>41593</v>
      </c>
      <c r="L772" s="173" t="s">
        <v>271</v>
      </c>
      <c r="M772" s="262"/>
      <c r="N772" s="337">
        <v>540</v>
      </c>
      <c r="O772" s="461">
        <f>CompletedProjects[[#This Row],[Power Plant Size (MW) or Share]]*0.593*9057*211.9*10^(-9)</f>
        <v>0.61455927522599996</v>
      </c>
      <c r="P772" s="337">
        <f>CompletedProjects[[#This Row],[Annual Emissions (MMTCO2)]]*40</f>
        <v>24.582371009039999</v>
      </c>
      <c r="Q772" s="176"/>
      <c r="R772" s="178"/>
      <c r="S772" s="167"/>
      <c r="T772" s="178"/>
      <c r="U772" s="2"/>
      <c r="V772" s="2"/>
      <c r="Y772" s="2"/>
    </row>
    <row r="773" spans="1:25" ht="43">
      <c r="A773" s="167" t="s">
        <v>160</v>
      </c>
      <c r="B773" s="171" t="s">
        <v>161</v>
      </c>
      <c r="C773" s="171" t="s">
        <v>336</v>
      </c>
      <c r="D773" s="172">
        <v>140000000</v>
      </c>
      <c r="E773" s="173" t="s">
        <v>178</v>
      </c>
      <c r="F773" s="173" t="s">
        <v>1448</v>
      </c>
      <c r="G773" s="262" t="s">
        <v>687</v>
      </c>
      <c r="H773" s="173" t="s">
        <v>65</v>
      </c>
      <c r="I773" s="180" t="s">
        <v>283</v>
      </c>
      <c r="J773" s="173" t="s">
        <v>26</v>
      </c>
      <c r="K773" s="240">
        <v>41666</v>
      </c>
      <c r="L773" s="197"/>
      <c r="M773" s="262"/>
      <c r="N773" s="337">
        <v>1200</v>
      </c>
      <c r="O773" s="461">
        <f>CompletedProjects[[#This Row],[Power Plant Size (MW) or Share]]*0.593*9057*211.9*10^(-9)</f>
        <v>1.36568727828</v>
      </c>
      <c r="P773" s="337">
        <f>CompletedProjects[[#This Row],[Annual Emissions (MMTCO2)]]*40</f>
        <v>54.627491131200003</v>
      </c>
      <c r="Q773" s="176"/>
      <c r="R773" s="173"/>
      <c r="S773" s="167"/>
      <c r="T773" s="173"/>
      <c r="U773" s="2"/>
      <c r="V773" s="2"/>
      <c r="Y773" s="2"/>
    </row>
    <row r="774" spans="1:25" ht="43">
      <c r="A774" s="167" t="s">
        <v>160</v>
      </c>
      <c r="B774" s="171" t="s">
        <v>87</v>
      </c>
      <c r="C774" s="171" t="s">
        <v>336</v>
      </c>
      <c r="D774" s="172">
        <v>210000000</v>
      </c>
      <c r="E774" s="173" t="s">
        <v>149</v>
      </c>
      <c r="F774" s="173" t="s">
        <v>1448</v>
      </c>
      <c r="G774" s="264" t="s">
        <v>687</v>
      </c>
      <c r="H774" s="173" t="s">
        <v>65</v>
      </c>
      <c r="I774" s="180" t="s">
        <v>283</v>
      </c>
      <c r="J774" s="173" t="s">
        <v>26</v>
      </c>
      <c r="K774" s="240">
        <v>41666</v>
      </c>
      <c r="L774" s="197"/>
      <c r="M774" s="262" t="s">
        <v>661</v>
      </c>
      <c r="N774" s="337">
        <v>1200</v>
      </c>
      <c r="O774" s="461">
        <f>CompletedProjects[[#This Row],[Power Plant Size (MW) or Share]]*0.593*9057*211.9*10^(-9)</f>
        <v>1.36568727828</v>
      </c>
      <c r="P774" s="337">
        <f>CompletedProjects[[#This Row],[Annual Emissions (MMTCO2)]]*40</f>
        <v>54.627491131200003</v>
      </c>
      <c r="Q774" s="176"/>
      <c r="R774" s="173" t="s">
        <v>285</v>
      </c>
      <c r="S774" s="167"/>
      <c r="T774" s="173"/>
      <c r="U774" s="2"/>
      <c r="V774" s="2"/>
      <c r="Y774" s="2"/>
    </row>
    <row r="775" spans="1:25" ht="43">
      <c r="A775" s="167" t="s">
        <v>160</v>
      </c>
      <c r="B775" s="171" t="s">
        <v>256</v>
      </c>
      <c r="C775" s="171" t="s">
        <v>337</v>
      </c>
      <c r="D775" s="172">
        <v>406680400</v>
      </c>
      <c r="E775" s="173" t="s">
        <v>272</v>
      </c>
      <c r="F775" s="173" t="s">
        <v>261</v>
      </c>
      <c r="G775" s="262" t="s">
        <v>721</v>
      </c>
      <c r="H775" s="173" t="s">
        <v>273</v>
      </c>
      <c r="I775" s="173" t="s">
        <v>1507</v>
      </c>
      <c r="J775" s="173" t="s">
        <v>428</v>
      </c>
      <c r="K775" s="240">
        <v>41806</v>
      </c>
      <c r="L775" s="173" t="s">
        <v>262</v>
      </c>
      <c r="M775" s="262"/>
      <c r="N775" s="337">
        <v>1200</v>
      </c>
      <c r="O775" s="461">
        <f>CompletedProjects[[#This Row],[Power Plant Size (MW) or Share]]*0.593*9057*211.9*10^(-9)</f>
        <v>1.36568727828</v>
      </c>
      <c r="P775" s="337">
        <f>CompletedProjects[[#This Row],[Annual Emissions (MMTCO2)]]*40</f>
        <v>54.627491131200003</v>
      </c>
      <c r="Q775" s="176"/>
      <c r="R775" s="178"/>
      <c r="S775" s="167"/>
      <c r="T775" s="178"/>
      <c r="U775" s="2"/>
      <c r="V775" s="2"/>
      <c r="Y775" s="2"/>
    </row>
    <row r="776" spans="1:25" ht="129">
      <c r="A776" s="167" t="s">
        <v>160</v>
      </c>
      <c r="B776" s="167" t="s">
        <v>512</v>
      </c>
      <c r="C776" s="167" t="s">
        <v>464</v>
      </c>
      <c r="D776" s="172">
        <f>21000000*'Dev Bank Share by Country'!$E$85</f>
        <v>1778707.0845503483</v>
      </c>
      <c r="E776" s="173" t="s">
        <v>434</v>
      </c>
      <c r="F776" s="173" t="s">
        <v>435</v>
      </c>
      <c r="G776" s="262" t="s">
        <v>790</v>
      </c>
      <c r="H776" s="173" t="s">
        <v>436</v>
      </c>
      <c r="I776" s="173" t="s">
        <v>284</v>
      </c>
      <c r="J776" s="173" t="s">
        <v>1498</v>
      </c>
      <c r="K776" s="241">
        <v>40801</v>
      </c>
      <c r="L776" s="173" t="s">
        <v>829</v>
      </c>
      <c r="M776" s="273" t="s">
        <v>775</v>
      </c>
      <c r="N776" s="256"/>
      <c r="O776" s="461">
        <f>CompletedProjects[[#This Row],[Power Plant Size (MW) or Share]]*0.593*9057*211.9*10^(-9)</f>
        <v>0</v>
      </c>
      <c r="P776" s="337">
        <f>CompletedProjects[[#This Row],[Annual Emissions (MMTCO2)]]*40</f>
        <v>0</v>
      </c>
      <c r="Q776" s="167"/>
      <c r="R776" s="167" t="s">
        <v>400</v>
      </c>
      <c r="S776" s="167" t="s">
        <v>633</v>
      </c>
      <c r="T776" s="167"/>
      <c r="U776" s="2"/>
      <c r="V776" s="2"/>
      <c r="Y776" s="2"/>
    </row>
    <row r="777" spans="1:25" ht="43">
      <c r="A777" s="181" t="s">
        <v>160</v>
      </c>
      <c r="B777" s="182" t="s">
        <v>559</v>
      </c>
      <c r="C777" s="182" t="s">
        <v>464</v>
      </c>
      <c r="D777" s="172">
        <v>1600209.6172692885</v>
      </c>
      <c r="E777" s="173" t="s">
        <v>592</v>
      </c>
      <c r="F777" s="173" t="s">
        <v>593</v>
      </c>
      <c r="G777" s="262" t="s">
        <v>795</v>
      </c>
      <c r="H777" s="173" t="s">
        <v>201</v>
      </c>
      <c r="I777" s="173" t="s">
        <v>40</v>
      </c>
      <c r="J777" s="173" t="s">
        <v>40</v>
      </c>
      <c r="K777" s="240">
        <v>39854</v>
      </c>
      <c r="L777" s="183" t="s">
        <v>1689</v>
      </c>
      <c r="M777" s="262"/>
      <c r="N777" s="337"/>
      <c r="O777" s="461">
        <f>CompletedProjects[[#This Row],[Power Plant Size (MW) or Share]]*0.593*9057*211.9*10^(-9)</f>
        <v>0</v>
      </c>
      <c r="P777" s="337">
        <f>CompletedProjects[[#This Row],[Annual Emissions (MMTCO2)]]*40</f>
        <v>0</v>
      </c>
      <c r="Q777" s="176"/>
      <c r="R777" s="173" t="s">
        <v>907</v>
      </c>
      <c r="S777" s="167"/>
      <c r="T777" s="173"/>
      <c r="U777" s="2"/>
      <c r="V777" s="2"/>
      <c r="Y777" s="2"/>
    </row>
    <row r="778" spans="1:25" ht="43">
      <c r="A778" s="167" t="s">
        <v>160</v>
      </c>
      <c r="B778" s="171" t="s">
        <v>161</v>
      </c>
      <c r="C778" s="171" t="s">
        <v>336</v>
      </c>
      <c r="D778" s="172">
        <v>135000000</v>
      </c>
      <c r="E778" s="173" t="s">
        <v>179</v>
      </c>
      <c r="F778" s="173" t="s">
        <v>152</v>
      </c>
      <c r="G778" s="262" t="s">
        <v>686</v>
      </c>
      <c r="H778" s="173" t="s">
        <v>63</v>
      </c>
      <c r="I778" s="180" t="s">
        <v>283</v>
      </c>
      <c r="J778" s="173" t="s">
        <v>26</v>
      </c>
      <c r="K778" s="240">
        <v>41837</v>
      </c>
      <c r="L778" s="173"/>
      <c r="M778" s="262"/>
      <c r="N778" s="337">
        <v>600</v>
      </c>
      <c r="O778" s="461">
        <f>CompletedProjects[[#This Row],[Power Plant Size (MW) or Share]]*0.593*9057*211.9*10^(-9)</f>
        <v>0.68284363914000001</v>
      </c>
      <c r="P778" s="337">
        <f>CompletedProjects[[#This Row],[Annual Emissions (MMTCO2)]]*40</f>
        <v>27.313745565600001</v>
      </c>
      <c r="Q778" s="176"/>
      <c r="R778" s="178" t="s">
        <v>353</v>
      </c>
      <c r="S778" s="167"/>
      <c r="T778" s="178"/>
      <c r="U778" s="2"/>
      <c r="V778" s="2"/>
      <c r="Y778" s="2"/>
    </row>
    <row r="779" spans="1:25" ht="71.7">
      <c r="A779" s="167" t="s">
        <v>160</v>
      </c>
      <c r="B779" s="171" t="s">
        <v>87</v>
      </c>
      <c r="C779" s="171" t="s">
        <v>336</v>
      </c>
      <c r="D779" s="172">
        <v>202000000</v>
      </c>
      <c r="E779" s="173" t="s">
        <v>151</v>
      </c>
      <c r="F779" s="173" t="s">
        <v>152</v>
      </c>
      <c r="G779" s="262" t="s">
        <v>686</v>
      </c>
      <c r="H779" s="173" t="s">
        <v>153</v>
      </c>
      <c r="I779" s="180" t="s">
        <v>283</v>
      </c>
      <c r="J779" s="173" t="s">
        <v>26</v>
      </c>
      <c r="K779" s="241">
        <v>41837</v>
      </c>
      <c r="L779" s="174"/>
      <c r="M779" s="262" t="s">
        <v>819</v>
      </c>
      <c r="N779" s="337">
        <v>600</v>
      </c>
      <c r="O779" s="461">
        <f>CompletedProjects[[#This Row],[Power Plant Size (MW) or Share]]*0.593*9057*211.9*10^(-9)</f>
        <v>0.68284363914000001</v>
      </c>
      <c r="P779" s="337">
        <f>CompletedProjects[[#This Row],[Annual Emissions (MMTCO2)]]*40</f>
        <v>27.313745565600001</v>
      </c>
      <c r="Q779" s="176"/>
      <c r="R779" s="178" t="s">
        <v>353</v>
      </c>
      <c r="S779" s="167"/>
      <c r="T779" s="178"/>
      <c r="U779" s="2"/>
      <c r="V779" s="2"/>
      <c r="Y779" s="2"/>
    </row>
    <row r="780" spans="1:25" ht="57.35">
      <c r="A780" s="167" t="s">
        <v>160</v>
      </c>
      <c r="B780" s="167" t="s">
        <v>511</v>
      </c>
      <c r="C780" s="167" t="s">
        <v>464</v>
      </c>
      <c r="D780" s="172">
        <f>18000000*'Dev Bank Share by Country'!$G$85</f>
        <v>1140059.2239165176</v>
      </c>
      <c r="E780" s="173" t="s">
        <v>407</v>
      </c>
      <c r="F780" s="173" t="s">
        <v>407</v>
      </c>
      <c r="G780" s="262" t="s">
        <v>776</v>
      </c>
      <c r="H780" s="173" t="s">
        <v>408</v>
      </c>
      <c r="I780" s="180" t="s">
        <v>283</v>
      </c>
      <c r="J780" s="173" t="s">
        <v>409</v>
      </c>
      <c r="K780" s="241">
        <v>39254</v>
      </c>
      <c r="L780" s="173" t="s">
        <v>816</v>
      </c>
      <c r="M780" s="262"/>
      <c r="N780" s="256">
        <f>60/19</f>
        <v>3.1578947368421053</v>
      </c>
      <c r="O780" s="461">
        <f>CompletedProjects[[#This Row],[Power Plant Size (MW) or Share]]*0.593*9057*211.9*10^(-9)</f>
        <v>3.5939138902105262E-3</v>
      </c>
      <c r="P780" s="337">
        <f>CompletedProjects[[#This Row],[Annual Emissions (MMTCO2)]]*40</f>
        <v>0.14375655560842104</v>
      </c>
      <c r="Q780" s="167"/>
      <c r="R780" s="167" t="s">
        <v>636</v>
      </c>
      <c r="S780" s="167" t="s">
        <v>633</v>
      </c>
      <c r="T780" s="167"/>
      <c r="U780" s="2"/>
      <c r="V780" s="2"/>
      <c r="Y780" s="2"/>
    </row>
    <row r="781" spans="1:25" ht="71.7">
      <c r="A781" s="167" t="s">
        <v>160</v>
      </c>
      <c r="B781" s="171" t="s">
        <v>87</v>
      </c>
      <c r="C781" s="171" t="s">
        <v>336</v>
      </c>
      <c r="D781" s="172">
        <v>89063400</v>
      </c>
      <c r="E781" s="173" t="s">
        <v>154</v>
      </c>
      <c r="F781" s="173" t="s">
        <v>155</v>
      </c>
      <c r="G781" s="262" t="s">
        <v>698</v>
      </c>
      <c r="H781" s="173" t="s">
        <v>19</v>
      </c>
      <c r="I781" s="180" t="s">
        <v>283</v>
      </c>
      <c r="J781" s="173" t="s">
        <v>26</v>
      </c>
      <c r="K781" s="240">
        <v>41884</v>
      </c>
      <c r="L781" s="197"/>
      <c r="M781" s="262" t="s">
        <v>843</v>
      </c>
      <c r="N781" s="337">
        <v>660</v>
      </c>
      <c r="O781" s="461">
        <f>CompletedProjects[[#This Row],[Power Plant Size (MW) or Share]]*0.593*9057*211.9*10^(-9)</f>
        <v>0.75112800305400007</v>
      </c>
      <c r="P781" s="337">
        <f>CompletedProjects[[#This Row],[Annual Emissions (MMTCO2)]]*40</f>
        <v>30.045120122160004</v>
      </c>
      <c r="Q781" s="176"/>
      <c r="R781" s="173" t="s">
        <v>842</v>
      </c>
      <c r="S781" s="167"/>
      <c r="T781" s="173"/>
      <c r="U781" s="2"/>
      <c r="V781" s="2"/>
      <c r="Y781" s="2"/>
    </row>
    <row r="782" spans="1:25" ht="43">
      <c r="A782" s="167" t="s">
        <v>160</v>
      </c>
      <c r="B782" s="171" t="s">
        <v>161</v>
      </c>
      <c r="C782" s="171" t="s">
        <v>336</v>
      </c>
      <c r="D782" s="172">
        <v>851375600</v>
      </c>
      <c r="E782" s="173" t="s">
        <v>179</v>
      </c>
      <c r="F782" s="173" t="s">
        <v>180</v>
      </c>
      <c r="G782" s="262" t="s">
        <v>755</v>
      </c>
      <c r="H782" s="173" t="s">
        <v>65</v>
      </c>
      <c r="I782" s="180" t="s">
        <v>283</v>
      </c>
      <c r="J782" s="173" t="s">
        <v>26</v>
      </c>
      <c r="K782" s="240">
        <v>41884</v>
      </c>
      <c r="L782" s="197"/>
      <c r="M782" s="262" t="s">
        <v>662</v>
      </c>
      <c r="N782" s="337">
        <v>660</v>
      </c>
      <c r="O782" s="461">
        <f>CompletedProjects[[#This Row],[Power Plant Size (MW) or Share]]*0.593*9057*211.9*10^(-9)</f>
        <v>0.75112800305400007</v>
      </c>
      <c r="P782" s="337">
        <f>CompletedProjects[[#This Row],[Annual Emissions (MMTCO2)]]*40</f>
        <v>30.045120122160004</v>
      </c>
      <c r="Q782" s="176"/>
      <c r="R782" s="173"/>
      <c r="S782" s="167"/>
      <c r="T782" s="173"/>
      <c r="U782" s="2"/>
      <c r="V782" s="2"/>
      <c r="Y782" s="2"/>
    </row>
    <row r="783" spans="1:25" ht="86">
      <c r="A783" s="167" t="s">
        <v>160</v>
      </c>
      <c r="B783" s="167" t="s">
        <v>512</v>
      </c>
      <c r="C783" s="167" t="s">
        <v>464</v>
      </c>
      <c r="D783" s="172">
        <f>7500000*'Dev Bank Share by Country'!$E$85</f>
        <v>635252.53019655298</v>
      </c>
      <c r="E783" s="173" t="s">
        <v>456</v>
      </c>
      <c r="F783" s="173" t="s">
        <v>457</v>
      </c>
      <c r="G783" s="262" t="s">
        <v>794</v>
      </c>
      <c r="H783" s="173" t="s">
        <v>458</v>
      </c>
      <c r="I783" s="180" t="s">
        <v>283</v>
      </c>
      <c r="J783" s="173" t="s">
        <v>26</v>
      </c>
      <c r="K783" s="241">
        <v>41627</v>
      </c>
      <c r="L783" s="173" t="s">
        <v>899</v>
      </c>
      <c r="M783" s="262"/>
      <c r="N783" s="256">
        <f>125/19</f>
        <v>6.5789473684210522</v>
      </c>
      <c r="O783" s="461">
        <f>CompletedProjects[[#This Row],[Power Plant Size (MW) or Share]]*0.593*9057*211.9*10^(-9)</f>
        <v>7.487320604605263E-3</v>
      </c>
      <c r="P783" s="337">
        <f>CompletedProjects[[#This Row],[Annual Emissions (MMTCO2)]]*40</f>
        <v>0.29949282418421053</v>
      </c>
      <c r="Q783" s="167"/>
      <c r="R783" s="167" t="s">
        <v>637</v>
      </c>
      <c r="S783" s="167" t="s">
        <v>633</v>
      </c>
      <c r="T783" s="167" t="s">
        <v>537</v>
      </c>
      <c r="U783" s="2"/>
      <c r="V783" s="2"/>
      <c r="Y783" s="2"/>
    </row>
    <row r="784" spans="1:25" ht="100.35">
      <c r="A784" s="167" t="s">
        <v>160</v>
      </c>
      <c r="B784" s="167" t="s">
        <v>511</v>
      </c>
      <c r="C784" s="167" t="s">
        <v>464</v>
      </c>
      <c r="D784" s="172">
        <f>146970000*'Dev Bank Share by Country'!$G$85</f>
        <v>9308583.5632783659</v>
      </c>
      <c r="E784" s="173" t="s">
        <v>459</v>
      </c>
      <c r="F784" s="173" t="s">
        <v>460</v>
      </c>
      <c r="G784" s="262" t="s">
        <v>784</v>
      </c>
      <c r="H784" s="173" t="s">
        <v>239</v>
      </c>
      <c r="I784" s="180" t="s">
        <v>283</v>
      </c>
      <c r="J784" s="173" t="s">
        <v>26</v>
      </c>
      <c r="K784" s="241">
        <v>41701</v>
      </c>
      <c r="L784" s="173" t="s">
        <v>900</v>
      </c>
      <c r="M784" s="262"/>
      <c r="N784" s="256"/>
      <c r="O784" s="461">
        <f>CompletedProjects[[#This Row],[Power Plant Size (MW) or Share]]*0.593*9057*211.9*10^(-9)</f>
        <v>0</v>
      </c>
      <c r="P784" s="337">
        <f>CompletedProjects[[#This Row],[Annual Emissions (MMTCO2)]]*40</f>
        <v>0</v>
      </c>
      <c r="Q784" s="167"/>
      <c r="R784" s="167" t="s">
        <v>400</v>
      </c>
      <c r="S784" s="167" t="s">
        <v>465</v>
      </c>
      <c r="T784" s="167"/>
      <c r="U784" s="2"/>
      <c r="V784" s="2"/>
      <c r="Y784" s="2"/>
    </row>
    <row r="785" spans="1:25" ht="43">
      <c r="A785" s="167" t="s">
        <v>160</v>
      </c>
      <c r="B785" s="171" t="s">
        <v>87</v>
      </c>
      <c r="C785" s="171" t="s">
        <v>336</v>
      </c>
      <c r="D785" s="172">
        <v>906675800</v>
      </c>
      <c r="E785" s="173" t="s">
        <v>156</v>
      </c>
      <c r="F785" s="173" t="s">
        <v>157</v>
      </c>
      <c r="G785" s="262" t="s">
        <v>663</v>
      </c>
      <c r="H785" s="173" t="s">
        <v>158</v>
      </c>
      <c r="I785" s="180" t="s">
        <v>283</v>
      </c>
      <c r="J785" s="173" t="s">
        <v>26</v>
      </c>
      <c r="K785" s="240">
        <v>41900</v>
      </c>
      <c r="L785" s="173" t="s">
        <v>287</v>
      </c>
      <c r="M785" s="262" t="s">
        <v>661</v>
      </c>
      <c r="N785" s="337">
        <v>693</v>
      </c>
      <c r="O785" s="461">
        <f>CompletedProjects[[#This Row],[Power Plant Size (MW) or Share]]*0.593*9057*211.9*10^(-9)</f>
        <v>0.78868440320669986</v>
      </c>
      <c r="P785" s="337">
        <f>CompletedProjects[[#This Row],[Annual Emissions (MMTCO2)]]*40</f>
        <v>31.547376128267995</v>
      </c>
      <c r="Q785" s="176"/>
      <c r="R785" s="178" t="s">
        <v>348</v>
      </c>
      <c r="S785" s="167"/>
      <c r="T785" s="178"/>
      <c r="U785" s="2"/>
      <c r="V785" s="2"/>
      <c r="Y785" s="2"/>
    </row>
    <row r="786" spans="1:25" ht="114.7">
      <c r="A786" s="167" t="s">
        <v>160</v>
      </c>
      <c r="B786" s="171" t="s">
        <v>161</v>
      </c>
      <c r="C786" s="171" t="s">
        <v>336</v>
      </c>
      <c r="D786" s="172">
        <v>483630308.00000006</v>
      </c>
      <c r="E786" s="173" t="s">
        <v>181</v>
      </c>
      <c r="F786" s="173" t="s">
        <v>182</v>
      </c>
      <c r="G786" s="262" t="s">
        <v>754</v>
      </c>
      <c r="H786" s="173" t="s">
        <v>132</v>
      </c>
      <c r="I786" s="180" t="s">
        <v>283</v>
      </c>
      <c r="J786" s="173" t="s">
        <v>26</v>
      </c>
      <c r="K786" s="240">
        <v>41901</v>
      </c>
      <c r="L786" s="173"/>
      <c r="M786" s="262"/>
      <c r="N786" s="337">
        <v>693</v>
      </c>
      <c r="O786" s="461">
        <f>CompletedProjects[[#This Row],[Power Plant Size (MW) or Share]]*0.593*9057*211.9*10^(-9)</f>
        <v>0.78868440320669986</v>
      </c>
      <c r="P786" s="337">
        <f>CompletedProjects[[#This Row],[Annual Emissions (MMTCO2)]]*40</f>
        <v>31.547376128267995</v>
      </c>
      <c r="Q786" s="176"/>
      <c r="R786" s="178" t="s">
        <v>348</v>
      </c>
      <c r="S786" s="167"/>
      <c r="T786" s="178"/>
      <c r="U786" s="2"/>
      <c r="V786" s="2"/>
      <c r="Y786" s="2"/>
    </row>
    <row r="787" spans="1:25" ht="28.7">
      <c r="A787" s="167" t="s">
        <v>160</v>
      </c>
      <c r="B787" s="171" t="s">
        <v>256</v>
      </c>
      <c r="C787" s="171" t="s">
        <v>337</v>
      </c>
      <c r="D787" s="321">
        <v>307397175.64959997</v>
      </c>
      <c r="E787" s="173" t="s">
        <v>263</v>
      </c>
      <c r="F787" s="173" t="s">
        <v>562</v>
      </c>
      <c r="G787" s="264" t="s">
        <v>717</v>
      </c>
      <c r="H787" s="173" t="s">
        <v>63</v>
      </c>
      <c r="I787" s="180" t="s">
        <v>283</v>
      </c>
      <c r="J787" s="173" t="s">
        <v>26</v>
      </c>
      <c r="K787" s="240">
        <v>42030</v>
      </c>
      <c r="L787" s="173"/>
      <c r="M787" s="262"/>
      <c r="N787" s="337">
        <v>600</v>
      </c>
      <c r="O787" s="461">
        <f>CompletedProjects[[#This Row],[Power Plant Size (MW) or Share]]*0.593*9057*211.9*10^(-9)</f>
        <v>0.68284363914000001</v>
      </c>
      <c r="P787" s="337">
        <f>CompletedProjects[[#This Row],[Annual Emissions (MMTCO2)]]*40</f>
        <v>27.313745565600001</v>
      </c>
      <c r="Q787" s="176"/>
      <c r="R787" s="178" t="s">
        <v>537</v>
      </c>
      <c r="S787" s="167"/>
      <c r="T787" s="178"/>
      <c r="U787" s="2"/>
      <c r="V787" s="2"/>
      <c r="Y787" s="2"/>
    </row>
    <row r="788" spans="1:25" ht="43">
      <c r="A788" s="167" t="s">
        <v>160</v>
      </c>
      <c r="B788" s="171" t="s">
        <v>161</v>
      </c>
      <c r="C788" s="171" t="s">
        <v>336</v>
      </c>
      <c r="D788" s="321">
        <v>274000000</v>
      </c>
      <c r="E788" s="173" t="s">
        <v>151</v>
      </c>
      <c r="F788" s="173" t="s">
        <v>159</v>
      </c>
      <c r="G788" s="264" t="s">
        <v>671</v>
      </c>
      <c r="H788" s="173" t="s">
        <v>153</v>
      </c>
      <c r="I788" s="180" t="s">
        <v>283</v>
      </c>
      <c r="J788" s="173" t="s">
        <v>248</v>
      </c>
      <c r="K788" s="240">
        <v>42094</v>
      </c>
      <c r="L788" s="173" t="s">
        <v>586</v>
      </c>
      <c r="M788" s="262" t="s">
        <v>791</v>
      </c>
      <c r="N788" s="469">
        <f>688/2</f>
        <v>344</v>
      </c>
      <c r="O788" s="461">
        <f>CompletedProjects[[#This Row],[Power Plant Size (MW) or Share]]*0.593*9057*211.9*10^(-9)</f>
        <v>0.39149701977360002</v>
      </c>
      <c r="P788" s="337">
        <f>CompletedProjects[[#This Row],[Annual Emissions (MMTCO2)]]*40</f>
        <v>15.659880790944001</v>
      </c>
      <c r="Q788" s="176"/>
      <c r="R788" s="178" t="s">
        <v>615</v>
      </c>
      <c r="S788" s="167" t="s">
        <v>1729</v>
      </c>
      <c r="T788" s="178"/>
      <c r="U788" s="2"/>
      <c r="V788" s="2"/>
      <c r="Y788" s="2"/>
    </row>
    <row r="789" spans="1:25" ht="86">
      <c r="A789" s="167" t="s">
        <v>160</v>
      </c>
      <c r="B789" s="171" t="s">
        <v>87</v>
      </c>
      <c r="C789" s="171" t="s">
        <v>336</v>
      </c>
      <c r="D789" s="321">
        <v>409910000</v>
      </c>
      <c r="E789" s="173" t="s">
        <v>151</v>
      </c>
      <c r="F789" s="173" t="s">
        <v>159</v>
      </c>
      <c r="G789" s="264" t="s">
        <v>671</v>
      </c>
      <c r="H789" s="173" t="s">
        <v>153</v>
      </c>
      <c r="I789" s="180" t="s">
        <v>283</v>
      </c>
      <c r="J789" s="173" t="s">
        <v>248</v>
      </c>
      <c r="K789" s="240">
        <v>42094</v>
      </c>
      <c r="L789" s="173" t="s">
        <v>1726</v>
      </c>
      <c r="M789" s="262" t="s">
        <v>661</v>
      </c>
      <c r="N789" s="469">
        <f>688/2</f>
        <v>344</v>
      </c>
      <c r="O789" s="461">
        <f>CompletedProjects[[#This Row],[Power Plant Size (MW) or Share]]*0.593*9057*211.9*10^(-9)</f>
        <v>0.39149701977360002</v>
      </c>
      <c r="P789" s="337">
        <f>CompletedProjects[[#This Row],[Annual Emissions (MMTCO2)]]*40</f>
        <v>15.659880790944001</v>
      </c>
      <c r="Q789" s="176"/>
      <c r="R789" s="178" t="s">
        <v>615</v>
      </c>
      <c r="S789" s="167" t="s">
        <v>1729</v>
      </c>
      <c r="T789" s="178"/>
      <c r="U789" s="2"/>
      <c r="V789" s="2"/>
      <c r="Y789" s="2"/>
    </row>
    <row r="790" spans="1:25" ht="57.35">
      <c r="A790" s="167" t="s">
        <v>160</v>
      </c>
      <c r="B790" s="171" t="s">
        <v>256</v>
      </c>
      <c r="C790" s="171" t="s">
        <v>337</v>
      </c>
      <c r="D790" s="321">
        <v>78412530</v>
      </c>
      <c r="E790" s="167" t="s">
        <v>263</v>
      </c>
      <c r="F790" s="173" t="s">
        <v>563</v>
      </c>
      <c r="G790" s="264" t="s">
        <v>565</v>
      </c>
      <c r="H790" s="173" t="s">
        <v>63</v>
      </c>
      <c r="I790" s="180" t="s">
        <v>283</v>
      </c>
      <c r="J790" s="173" t="s">
        <v>26</v>
      </c>
      <c r="K790" s="240">
        <v>42189</v>
      </c>
      <c r="L790" s="173"/>
      <c r="M790" s="262" t="s">
        <v>565</v>
      </c>
      <c r="N790" s="337"/>
      <c r="O790" s="461">
        <f>CompletedProjects[[#This Row],[Power Plant Size (MW) or Share]]*0.593*9057*211.9*10^(-9)</f>
        <v>0</v>
      </c>
      <c r="P790" s="337">
        <f>CompletedProjects[[#This Row],[Annual Emissions (MMTCO2)]]*40</f>
        <v>0</v>
      </c>
      <c r="Q790" s="176"/>
      <c r="R790" s="178" t="s">
        <v>564</v>
      </c>
      <c r="S790" s="167"/>
      <c r="T790" s="178"/>
      <c r="U790" s="2"/>
      <c r="V790" s="2"/>
      <c r="Y790" s="2"/>
    </row>
    <row r="791" spans="1:25" ht="38">
      <c r="A791" s="24" t="s">
        <v>160</v>
      </c>
      <c r="B791" s="279" t="s">
        <v>256</v>
      </c>
      <c r="C791" s="279" t="s">
        <v>337</v>
      </c>
      <c r="D791" s="321">
        <v>429731482</v>
      </c>
      <c r="E791" s="254" t="s">
        <v>272</v>
      </c>
      <c r="F791" s="30" t="s">
        <v>1605</v>
      </c>
      <c r="G791" s="10" t="s">
        <v>1516</v>
      </c>
      <c r="H791" s="30" t="s">
        <v>273</v>
      </c>
      <c r="I791" s="30" t="s">
        <v>1507</v>
      </c>
      <c r="J791" s="30" t="s">
        <v>1507</v>
      </c>
      <c r="K791" s="240">
        <v>42351</v>
      </c>
      <c r="L791" s="279" t="s">
        <v>1607</v>
      </c>
      <c r="M791" s="458" t="s">
        <v>1606</v>
      </c>
      <c r="N791" s="460"/>
      <c r="O791" s="460"/>
      <c r="P791" s="460"/>
      <c r="Q791" s="280"/>
      <c r="R791" s="281"/>
      <c r="S791" s="24"/>
      <c r="T791" s="281"/>
      <c r="U791" s="2"/>
      <c r="V791" s="2"/>
      <c r="Y791" s="2"/>
    </row>
    <row r="792" spans="1:25" ht="28.7">
      <c r="A792" s="173" t="s">
        <v>160</v>
      </c>
      <c r="B792" s="173" t="s">
        <v>519</v>
      </c>
      <c r="C792" s="173" t="s">
        <v>464</v>
      </c>
      <c r="D792" s="172">
        <f>120000000*'Dev Bank Share by Country'!$K$85</f>
        <v>18770400</v>
      </c>
      <c r="E792" s="173" t="s">
        <v>533</v>
      </c>
      <c r="F792" s="173" t="s">
        <v>534</v>
      </c>
      <c r="G792" s="262"/>
      <c r="H792" s="173" t="s">
        <v>95</v>
      </c>
      <c r="I792" s="180" t="s">
        <v>283</v>
      </c>
      <c r="J792" s="173" t="s">
        <v>277</v>
      </c>
      <c r="K792" s="241">
        <v>40158</v>
      </c>
      <c r="L792" s="173" t="s">
        <v>535</v>
      </c>
      <c r="M792" s="262"/>
      <c r="N792" s="337">
        <f>200/13</f>
        <v>15.384615384615385</v>
      </c>
      <c r="O792" s="461">
        <f>CompletedProjects[[#This Row],[Power Plant Size (MW) or Share]]*0.593*9057*211.9*10^(-9)</f>
        <v>1.750881126E-2</v>
      </c>
      <c r="P792" s="337">
        <f>CompletedProjects[[#This Row],[Annual Emissions (MMTCO2)]]*40</f>
        <v>0.70035245040000005</v>
      </c>
      <c r="Q792" s="176"/>
      <c r="R792" s="178"/>
      <c r="S792" s="167"/>
      <c r="T792" s="178"/>
      <c r="U792" s="2"/>
      <c r="V792" s="2"/>
      <c r="Y792" s="2"/>
    </row>
    <row r="793" spans="1:25" ht="129">
      <c r="A793" s="181" t="s">
        <v>160</v>
      </c>
      <c r="B793" s="182" t="s">
        <v>509</v>
      </c>
      <c r="C793" s="182" t="s">
        <v>464</v>
      </c>
      <c r="D793" s="172">
        <v>10942857.707319543</v>
      </c>
      <c r="E793" s="173" t="s">
        <v>556</v>
      </c>
      <c r="F793" s="173" t="s">
        <v>555</v>
      </c>
      <c r="G793" s="262"/>
      <c r="H793" s="173" t="s">
        <v>554</v>
      </c>
      <c r="I793" s="234" t="s">
        <v>284</v>
      </c>
      <c r="J793" s="173" t="s">
        <v>26</v>
      </c>
      <c r="K793" s="240">
        <v>42064</v>
      </c>
      <c r="L793" s="173" t="s">
        <v>857</v>
      </c>
      <c r="M793" s="262" t="s">
        <v>858</v>
      </c>
      <c r="N793" s="337"/>
      <c r="O793" s="461">
        <f>CompletedProjects[[#This Row],[Power Plant Size (MW) or Share]]*0.593*9057*211.9*10^(-9)</f>
        <v>0</v>
      </c>
      <c r="P793" s="337">
        <f>CompletedProjects[[#This Row],[Annual Emissions (MMTCO2)]]*40</f>
        <v>0</v>
      </c>
      <c r="Q793" s="176"/>
      <c r="R793" s="178" t="s">
        <v>537</v>
      </c>
      <c r="S793" s="167"/>
      <c r="T793" s="178"/>
      <c r="U793" s="2"/>
      <c r="V793" s="2"/>
      <c r="Y793" s="2"/>
    </row>
    <row r="794" spans="1:25" ht="38">
      <c r="A794" s="24" t="s">
        <v>160</v>
      </c>
      <c r="B794" s="279" t="s">
        <v>256</v>
      </c>
      <c r="C794" s="279" t="s">
        <v>337</v>
      </c>
      <c r="D794" s="321">
        <v>513793385</v>
      </c>
      <c r="E794" s="24" t="s">
        <v>266</v>
      </c>
      <c r="F794" s="30" t="s">
        <v>1608</v>
      </c>
      <c r="G794" s="161" t="s">
        <v>1517</v>
      </c>
      <c r="H794" s="282" t="s">
        <v>85</v>
      </c>
      <c r="I794" s="282" t="s">
        <v>1507</v>
      </c>
      <c r="J794" s="282" t="s">
        <v>1507</v>
      </c>
      <c r="K794" s="240">
        <v>42356</v>
      </c>
      <c r="L794" s="24"/>
      <c r="M794" s="34"/>
      <c r="N794" s="149"/>
      <c r="O794" s="149"/>
      <c r="P794" s="149"/>
      <c r="Q794" s="24"/>
      <c r="R794" s="24"/>
      <c r="S794" s="24"/>
      <c r="T794" s="24"/>
      <c r="U794" s="2"/>
      <c r="V794" s="2"/>
      <c r="Y794" s="2"/>
    </row>
    <row r="795" spans="1:25" ht="43">
      <c r="A795" s="181" t="s">
        <v>160</v>
      </c>
      <c r="B795" s="182" t="s">
        <v>559</v>
      </c>
      <c r="C795" s="182" t="s">
        <v>464</v>
      </c>
      <c r="D795" s="172">
        <v>7083687.3926617727</v>
      </c>
      <c r="E795" s="173" t="s">
        <v>595</v>
      </c>
      <c r="F795" s="173" t="s">
        <v>594</v>
      </c>
      <c r="G795" s="262" t="s">
        <v>796</v>
      </c>
      <c r="H795" s="173" t="s">
        <v>45</v>
      </c>
      <c r="I795" s="180" t="s">
        <v>283</v>
      </c>
      <c r="J795" s="173" t="s">
        <v>277</v>
      </c>
      <c r="K795" s="240">
        <v>40032</v>
      </c>
      <c r="L795" s="173"/>
      <c r="M795" s="262"/>
      <c r="N795" s="338">
        <f>185/12</f>
        <v>15.416666666666666</v>
      </c>
      <c r="O795" s="461">
        <f>CompletedProjects[[#This Row],[Power Plant Size (MW) or Share]]*0.593*9057*211.9*10^(-9)</f>
        <v>1.7545287950124999E-2</v>
      </c>
      <c r="P795" s="337">
        <f>CompletedProjects[[#This Row],[Annual Emissions (MMTCO2)]]*40</f>
        <v>0.70181151800499997</v>
      </c>
      <c r="Q795" s="176"/>
      <c r="R795" s="185"/>
      <c r="S795" s="181"/>
      <c r="T795" s="185"/>
      <c r="U795" s="2"/>
      <c r="V795" s="2"/>
      <c r="Y795" s="2"/>
    </row>
    <row r="796" spans="1:25" ht="215">
      <c r="A796" s="167" t="s">
        <v>160</v>
      </c>
      <c r="B796" s="182" t="s">
        <v>509</v>
      </c>
      <c r="C796" s="182" t="s">
        <v>464</v>
      </c>
      <c r="D796" s="172">
        <v>61553574.603672422</v>
      </c>
      <c r="E796" s="173" t="s">
        <v>41</v>
      </c>
      <c r="F796" s="173" t="s">
        <v>553</v>
      </c>
      <c r="G796" s="262" t="s">
        <v>788</v>
      </c>
      <c r="H796" s="173" t="s">
        <v>25</v>
      </c>
      <c r="I796" s="173" t="s">
        <v>284</v>
      </c>
      <c r="J796" s="173" t="s">
        <v>79</v>
      </c>
      <c r="K796" s="240">
        <v>42359</v>
      </c>
      <c r="L796" s="173" t="s">
        <v>1326</v>
      </c>
      <c r="M796" s="262" t="s">
        <v>861</v>
      </c>
      <c r="N796" s="337"/>
      <c r="O796" s="461">
        <f>CompletedProjects[[#This Row],[Power Plant Size (MW) or Share]]*0.593*9057*211.9*10^(-9)</f>
        <v>0</v>
      </c>
      <c r="P796" s="337">
        <f>CompletedProjects[[#This Row],[Annual Emissions (MMTCO2)]]*40</f>
        <v>0</v>
      </c>
      <c r="Q796" s="176"/>
      <c r="R796" s="178"/>
      <c r="S796" s="167"/>
      <c r="T796" s="178"/>
      <c r="U796" s="2"/>
      <c r="V796" s="2"/>
      <c r="Y796" s="2"/>
    </row>
    <row r="797" spans="1:25" ht="100.35">
      <c r="A797" s="167" t="s">
        <v>160</v>
      </c>
      <c r="B797" s="167" t="s">
        <v>513</v>
      </c>
      <c r="C797" s="167" t="s">
        <v>464</v>
      </c>
      <c r="D797" s="172">
        <f>379060000*'Dev Bank Share by Country'!$C$85</f>
        <v>30021552.000000004</v>
      </c>
      <c r="E797" s="173" t="s">
        <v>429</v>
      </c>
      <c r="F797" s="173" t="s">
        <v>430</v>
      </c>
      <c r="G797" s="262" t="s">
        <v>779</v>
      </c>
      <c r="H797" s="173" t="s">
        <v>431</v>
      </c>
      <c r="I797" s="180" t="s">
        <v>283</v>
      </c>
      <c r="J797" s="173" t="s">
        <v>26</v>
      </c>
      <c r="K797" s="241">
        <v>40115</v>
      </c>
      <c r="L797" s="173" t="s">
        <v>922</v>
      </c>
      <c r="M797" s="262"/>
      <c r="N797" s="337">
        <f>600/19/2</f>
        <v>15.789473684210526</v>
      </c>
      <c r="O797" s="461">
        <f>CompletedProjects[[#This Row],[Power Plant Size (MW) or Share]]*0.593*9057*211.9*10^(-9)</f>
        <v>1.7969569451052634E-2</v>
      </c>
      <c r="P797" s="337">
        <f>CompletedProjects[[#This Row],[Annual Emissions (MMTCO2)]]*40</f>
        <v>0.71878277804210533</v>
      </c>
      <c r="Q797" s="167"/>
      <c r="R797" s="178" t="s">
        <v>640</v>
      </c>
      <c r="S797" s="167" t="s">
        <v>633</v>
      </c>
      <c r="T797" s="178"/>
      <c r="U797" s="2"/>
      <c r="V797" s="2"/>
      <c r="Y797" s="2"/>
    </row>
    <row r="798" spans="1:25" ht="172">
      <c r="A798" s="167" t="s">
        <v>160</v>
      </c>
      <c r="B798" s="167" t="s">
        <v>512</v>
      </c>
      <c r="C798" s="167" t="s">
        <v>464</v>
      </c>
      <c r="D798" s="172">
        <f>12100000*'Dev Bank Share by Country'!$E$85</f>
        <v>1024874.0820504389</v>
      </c>
      <c r="E798" s="173" t="s">
        <v>451</v>
      </c>
      <c r="F798" s="173" t="s">
        <v>452</v>
      </c>
      <c r="G798" s="262" t="s">
        <v>793</v>
      </c>
      <c r="H798" s="173" t="s">
        <v>453</v>
      </c>
      <c r="I798" s="173" t="s">
        <v>284</v>
      </c>
      <c r="J798" s="173" t="s">
        <v>1498</v>
      </c>
      <c r="K798" s="241">
        <v>41471</v>
      </c>
      <c r="L798" s="173" t="s">
        <v>926</v>
      </c>
      <c r="M798" s="262" t="s">
        <v>898</v>
      </c>
      <c r="N798" s="256"/>
      <c r="O798" s="461">
        <f>CompletedProjects[[#This Row],[Power Plant Size (MW) or Share]]*0.593*9057*211.9*10^(-9)</f>
        <v>0</v>
      </c>
      <c r="P798" s="337">
        <f>CompletedProjects[[#This Row],[Annual Emissions (MMTCO2)]]*40</f>
        <v>0</v>
      </c>
      <c r="Q798" s="167"/>
      <c r="R798" s="167" t="s">
        <v>400</v>
      </c>
      <c r="S798" s="167" t="s">
        <v>633</v>
      </c>
      <c r="T798" s="167" t="s">
        <v>537</v>
      </c>
      <c r="U798" s="2"/>
      <c r="V798" s="2"/>
      <c r="Y798" s="2"/>
    </row>
    <row r="799" spans="1:25" ht="215">
      <c r="A799" s="167" t="s">
        <v>160</v>
      </c>
      <c r="B799" s="167" t="s">
        <v>445</v>
      </c>
      <c r="C799" s="167" t="s">
        <v>464</v>
      </c>
      <c r="D799" s="172">
        <f>28000000*'Dev Bank Share by Country'!G85</f>
        <v>1773425.4594256938</v>
      </c>
      <c r="E799" s="173" t="s">
        <v>446</v>
      </c>
      <c r="F799" s="173" t="s">
        <v>447</v>
      </c>
      <c r="G799" s="262" t="s">
        <v>782</v>
      </c>
      <c r="H799" s="173" t="s">
        <v>201</v>
      </c>
      <c r="I799" s="173" t="s">
        <v>284</v>
      </c>
      <c r="J799" s="173" t="s">
        <v>1498</v>
      </c>
      <c r="K799" s="241">
        <v>41333</v>
      </c>
      <c r="L799" s="173" t="s">
        <v>832</v>
      </c>
      <c r="M799" s="262"/>
      <c r="N799" s="256">
        <f>750/19</f>
        <v>39.473684210526315</v>
      </c>
      <c r="O799" s="461">
        <f>CompletedProjects[[#This Row],[Power Plant Size (MW) or Share]]*0.593*9057*211.9*10^(-9)</f>
        <v>4.4923923627631576E-2</v>
      </c>
      <c r="P799" s="337">
        <f>CompletedProjects[[#This Row],[Annual Emissions (MMTCO2)]]*40</f>
        <v>1.7969569451052632</v>
      </c>
      <c r="Q799" s="167"/>
      <c r="R799" s="167" t="s">
        <v>639</v>
      </c>
      <c r="S799" s="167"/>
      <c r="T799" s="167"/>
      <c r="U799" s="2"/>
      <c r="V799" s="2"/>
      <c r="Y799" s="2"/>
    </row>
    <row r="800" spans="1:25" ht="86">
      <c r="A800" s="167" t="s">
        <v>160</v>
      </c>
      <c r="B800" s="167" t="s">
        <v>511</v>
      </c>
      <c r="C800" s="167" t="s">
        <v>464</v>
      </c>
      <c r="D800" s="172">
        <f>45500000*'Dev Bank Share by Country'!$G$85</f>
        <v>2881816.3715667524</v>
      </c>
      <c r="E800" s="173" t="s">
        <v>440</v>
      </c>
      <c r="F800" s="173" t="s">
        <v>441</v>
      </c>
      <c r="G800" s="262" t="s">
        <v>771</v>
      </c>
      <c r="H800" s="173" t="s">
        <v>442</v>
      </c>
      <c r="I800" s="173" t="s">
        <v>40</v>
      </c>
      <c r="J800" s="173" t="s">
        <v>443</v>
      </c>
      <c r="K800" s="241">
        <v>41060</v>
      </c>
      <c r="L800" s="173" t="s">
        <v>924</v>
      </c>
      <c r="M800" s="273"/>
      <c r="N800" s="256"/>
      <c r="O800" s="461">
        <f>CompletedProjects[[#This Row],[Power Plant Size (MW) or Share]]*0.593*9057*211.9*10^(-9)</f>
        <v>0</v>
      </c>
      <c r="P800" s="337">
        <f>CompletedProjects[[#This Row],[Annual Emissions (MMTCO2)]]*40</f>
        <v>0</v>
      </c>
      <c r="Q800" s="167"/>
      <c r="R800" s="167" t="s">
        <v>400</v>
      </c>
      <c r="S800" s="167" t="s">
        <v>465</v>
      </c>
      <c r="T800" s="167"/>
      <c r="U800" s="2"/>
      <c r="V800" s="2"/>
      <c r="Y800" s="2"/>
    </row>
    <row r="801" spans="1:25" ht="215">
      <c r="A801" s="167" t="s">
        <v>160</v>
      </c>
      <c r="B801" s="167" t="s">
        <v>512</v>
      </c>
      <c r="C801" s="167" t="s">
        <v>464</v>
      </c>
      <c r="D801" s="172">
        <f>200000000*'Dev Bank Share by Country'!$E$85</f>
        <v>16940067.471908081</v>
      </c>
      <c r="E801" s="173" t="s">
        <v>461</v>
      </c>
      <c r="F801" s="173" t="s">
        <v>462</v>
      </c>
      <c r="G801" s="262" t="s">
        <v>795</v>
      </c>
      <c r="H801" s="173" t="s">
        <v>442</v>
      </c>
      <c r="I801" s="173" t="s">
        <v>284</v>
      </c>
      <c r="J801" s="173" t="s">
        <v>1498</v>
      </c>
      <c r="K801" s="241">
        <v>41760</v>
      </c>
      <c r="L801" s="173" t="s">
        <v>831</v>
      </c>
      <c r="M801" s="262" t="s">
        <v>830</v>
      </c>
      <c r="N801" s="256"/>
      <c r="O801" s="461">
        <f>CompletedProjects[[#This Row],[Power Plant Size (MW) or Share]]*0.593*9057*211.9*10^(-9)</f>
        <v>0</v>
      </c>
      <c r="P801" s="337">
        <f>CompletedProjects[[#This Row],[Annual Emissions (MMTCO2)]]*40</f>
        <v>0</v>
      </c>
      <c r="Q801" s="167"/>
      <c r="R801" s="167" t="s">
        <v>400</v>
      </c>
      <c r="S801" s="167" t="s">
        <v>465</v>
      </c>
      <c r="T801" s="167"/>
      <c r="U801" s="2"/>
      <c r="V801" s="2"/>
      <c r="Y801" s="2"/>
    </row>
    <row r="802" spans="1:25" ht="114.7">
      <c r="A802" s="167" t="s">
        <v>160</v>
      </c>
      <c r="B802" s="167" t="s">
        <v>512</v>
      </c>
      <c r="C802" s="167" t="s">
        <v>464</v>
      </c>
      <c r="D802" s="172">
        <f>280000*'Dev Bank Share by Country'!$E$85</f>
        <v>23716.094460671313</v>
      </c>
      <c r="E802" s="173" t="s">
        <v>437</v>
      </c>
      <c r="F802" s="173" t="s">
        <v>438</v>
      </c>
      <c r="G802" s="262" t="s">
        <v>790</v>
      </c>
      <c r="H802" s="173" t="s">
        <v>439</v>
      </c>
      <c r="I802" s="173" t="s">
        <v>284</v>
      </c>
      <c r="J802" s="173" t="s">
        <v>1498</v>
      </c>
      <c r="K802" s="241">
        <v>41039</v>
      </c>
      <c r="L802" s="173" t="s">
        <v>897</v>
      </c>
      <c r="M802" s="273" t="s">
        <v>780</v>
      </c>
      <c r="N802" s="256"/>
      <c r="O802" s="461">
        <f>CompletedProjects[[#This Row],[Power Plant Size (MW) or Share]]*0.593*9057*211.9*10^(-9)</f>
        <v>0</v>
      </c>
      <c r="P802" s="337">
        <f>CompletedProjects[[#This Row],[Annual Emissions (MMTCO2)]]*40</f>
        <v>0</v>
      </c>
      <c r="Q802" s="167"/>
      <c r="R802" s="167" t="s">
        <v>400</v>
      </c>
      <c r="S802" s="167" t="s">
        <v>465</v>
      </c>
      <c r="T802" s="167"/>
      <c r="U802" s="2"/>
      <c r="V802" s="2"/>
      <c r="Y802" s="2"/>
    </row>
    <row r="803" spans="1:25" ht="43">
      <c r="A803" s="173" t="s">
        <v>160</v>
      </c>
      <c r="B803" s="173" t="s">
        <v>519</v>
      </c>
      <c r="C803" s="173" t="s">
        <v>464</v>
      </c>
      <c r="D803" s="172">
        <f>135000000*'Dev Bank Share by Country'!$K$85</f>
        <v>21116700</v>
      </c>
      <c r="E803" s="173" t="s">
        <v>531</v>
      </c>
      <c r="F803" s="173" t="s">
        <v>538</v>
      </c>
      <c r="G803" s="262"/>
      <c r="H803" s="173" t="s">
        <v>239</v>
      </c>
      <c r="I803" s="180" t="s">
        <v>283</v>
      </c>
      <c r="J803" s="173" t="s">
        <v>26</v>
      </c>
      <c r="K803" s="241">
        <v>40217</v>
      </c>
      <c r="L803" s="173" t="s">
        <v>539</v>
      </c>
      <c r="M803" s="262"/>
      <c r="N803" s="337">
        <f>250/13</f>
        <v>19.23076923076923</v>
      </c>
      <c r="O803" s="461">
        <f>CompletedProjects[[#This Row],[Power Plant Size (MW) or Share]]*0.593*9057*211.9*10^(-9)</f>
        <v>2.1886014075000002E-2</v>
      </c>
      <c r="P803" s="337">
        <f>CompletedProjects[[#This Row],[Annual Emissions (MMTCO2)]]*40</f>
        <v>0.87544056300000006</v>
      </c>
      <c r="Q803" s="176"/>
      <c r="R803" s="178" t="s">
        <v>540</v>
      </c>
      <c r="S803" s="167"/>
      <c r="T803" s="178"/>
      <c r="U803" s="2"/>
      <c r="V803" s="2"/>
      <c r="Y803" s="2"/>
    </row>
    <row r="804" spans="1:25" ht="43">
      <c r="A804" s="167" t="s">
        <v>160</v>
      </c>
      <c r="B804" s="171" t="s">
        <v>559</v>
      </c>
      <c r="C804" s="171" t="s">
        <v>464</v>
      </c>
      <c r="D804" s="172">
        <v>2907811.5437292908</v>
      </c>
      <c r="E804" s="173" t="s">
        <v>608</v>
      </c>
      <c r="F804" s="173" t="s">
        <v>609</v>
      </c>
      <c r="G804" s="262" t="s">
        <v>803</v>
      </c>
      <c r="H804" s="173" t="s">
        <v>368</v>
      </c>
      <c r="I804" s="180" t="s">
        <v>284</v>
      </c>
      <c r="J804" s="180" t="s">
        <v>284</v>
      </c>
      <c r="K804" s="240">
        <v>40869</v>
      </c>
      <c r="L804" s="173" t="s">
        <v>1694</v>
      </c>
      <c r="M804" s="262"/>
      <c r="N804" s="337"/>
      <c r="O804" s="461">
        <f>CompletedProjects[[#This Row],[Power Plant Size (MW) or Share]]*0.593*9057*211.9*10^(-9)</f>
        <v>0</v>
      </c>
      <c r="P804" s="337">
        <f>CompletedProjects[[#This Row],[Annual Emissions (MMTCO2)]]*40</f>
        <v>0</v>
      </c>
      <c r="Q804" s="176"/>
      <c r="R804" s="178"/>
      <c r="S804" s="167"/>
      <c r="T804" s="178"/>
      <c r="U804" s="2"/>
      <c r="V804" s="2"/>
      <c r="Y804" s="2"/>
    </row>
    <row r="805" spans="1:25" ht="57.35">
      <c r="A805" s="167" t="s">
        <v>160</v>
      </c>
      <c r="B805" s="182" t="s">
        <v>559</v>
      </c>
      <c r="C805" s="182" t="s">
        <v>464</v>
      </c>
      <c r="D805" s="172">
        <v>2446869.5656862771</v>
      </c>
      <c r="E805" s="173" t="s">
        <v>596</v>
      </c>
      <c r="F805" s="173" t="s">
        <v>597</v>
      </c>
      <c r="G805" s="262" t="s">
        <v>797</v>
      </c>
      <c r="H805" s="173" t="s">
        <v>493</v>
      </c>
      <c r="I805" s="180" t="s">
        <v>283</v>
      </c>
      <c r="J805" s="173" t="s">
        <v>277</v>
      </c>
      <c r="K805" s="240">
        <v>40052</v>
      </c>
      <c r="L805" s="269" t="s">
        <v>1690</v>
      </c>
      <c r="M805" s="262" t="s">
        <v>903</v>
      </c>
      <c r="N805" s="337"/>
      <c r="O805" s="461">
        <f>CompletedProjects[[#This Row],[Power Plant Size (MW) or Share]]*0.593*9057*211.9*10^(-9)</f>
        <v>0</v>
      </c>
      <c r="P805" s="337">
        <f>CompletedProjects[[#This Row],[Annual Emissions (MMTCO2)]]*40</f>
        <v>0</v>
      </c>
      <c r="Q805" s="176"/>
      <c r="R805" s="178"/>
      <c r="S805" s="167"/>
      <c r="T805" s="178"/>
      <c r="U805" s="2"/>
      <c r="V805" s="2"/>
      <c r="Y805" s="2"/>
    </row>
    <row r="806" spans="1:25" ht="172">
      <c r="A806" s="167" t="s">
        <v>160</v>
      </c>
      <c r="B806" s="167" t="s">
        <v>513</v>
      </c>
      <c r="C806" s="167" t="s">
        <v>464</v>
      </c>
      <c r="D806" s="172">
        <f>57000000*'Dev Bank Share by Country'!$C$85</f>
        <v>4514400</v>
      </c>
      <c r="E806" s="173" t="s">
        <v>415</v>
      </c>
      <c r="F806" s="173" t="s">
        <v>416</v>
      </c>
      <c r="G806" s="262" t="s">
        <v>772</v>
      </c>
      <c r="H806" s="173" t="s">
        <v>368</v>
      </c>
      <c r="I806" s="173" t="s">
        <v>40</v>
      </c>
      <c r="J806" s="173" t="s">
        <v>417</v>
      </c>
      <c r="K806" s="241">
        <v>39436</v>
      </c>
      <c r="L806" s="173" t="s">
        <v>918</v>
      </c>
      <c r="M806" s="273" t="s">
        <v>895</v>
      </c>
      <c r="N806" s="256"/>
      <c r="O806" s="461">
        <f>CompletedProjects[[#This Row],[Power Plant Size (MW) or Share]]*0.593*9057*211.9*10^(-9)</f>
        <v>0</v>
      </c>
      <c r="P806" s="337">
        <f>CompletedProjects[[#This Row],[Annual Emissions (MMTCO2)]]*40</f>
        <v>0</v>
      </c>
      <c r="Q806" s="167"/>
      <c r="R806" s="167" t="s">
        <v>400</v>
      </c>
      <c r="S806" s="167" t="s">
        <v>633</v>
      </c>
      <c r="T806" s="167"/>
      <c r="U806" s="2"/>
      <c r="V806" s="2"/>
      <c r="Y806" s="2"/>
    </row>
    <row r="807" spans="1:25" ht="172">
      <c r="A807" s="167" t="s">
        <v>78</v>
      </c>
      <c r="B807" s="171" t="s">
        <v>511</v>
      </c>
      <c r="C807" s="171" t="s">
        <v>464</v>
      </c>
      <c r="D807" s="172">
        <f>500000000*'Dev Bank Share by Country'!$G$113</f>
        <v>5948890.0484102322</v>
      </c>
      <c r="E807" s="173" t="s">
        <v>454</v>
      </c>
      <c r="F807" s="173" t="s">
        <v>514</v>
      </c>
      <c r="G807" s="262" t="s">
        <v>783</v>
      </c>
      <c r="H807" s="173" t="s">
        <v>515</v>
      </c>
      <c r="I807" s="180" t="s">
        <v>283</v>
      </c>
      <c r="J807" s="173" t="s">
        <v>26</v>
      </c>
      <c r="K807" s="242">
        <v>41760</v>
      </c>
      <c r="L807" s="183" t="s">
        <v>833</v>
      </c>
      <c r="M807" s="262"/>
      <c r="N807" s="337">
        <f>(270+450)/19</f>
        <v>37.89473684210526</v>
      </c>
      <c r="O807" s="461">
        <f>CompletedProjects[[#This Row],[Power Plant Size (MW) or Share]]*0.593*9057*211.9*10^(-9)</f>
        <v>4.3126966682526316E-2</v>
      </c>
      <c r="P807" s="337">
        <f>CompletedProjects[[#This Row],[Annual Emissions (MMTCO2)]]*40</f>
        <v>1.7250786673010525</v>
      </c>
      <c r="Q807" s="176"/>
      <c r="R807" s="178" t="s">
        <v>639</v>
      </c>
      <c r="S807" s="167" t="s">
        <v>465</v>
      </c>
      <c r="T807" s="178"/>
      <c r="U807" s="2"/>
      <c r="V807" s="2"/>
      <c r="Y807" s="2"/>
    </row>
    <row r="808" spans="1:25" ht="172">
      <c r="A808" s="167" t="s">
        <v>78</v>
      </c>
      <c r="B808" s="167" t="s">
        <v>401</v>
      </c>
      <c r="C808" s="182" t="s">
        <v>464</v>
      </c>
      <c r="D808" s="172">
        <f>1120000*'Dev Bank Share by Country'!$E$113</f>
        <v>6354.7589810593818</v>
      </c>
      <c r="E808" s="173" t="s">
        <v>402</v>
      </c>
      <c r="F808" s="173" t="s">
        <v>403</v>
      </c>
      <c r="G808" s="262" t="s">
        <v>785</v>
      </c>
      <c r="H808" s="173" t="s">
        <v>404</v>
      </c>
      <c r="I808" s="173" t="s">
        <v>284</v>
      </c>
      <c r="J808" s="173" t="s">
        <v>1498</v>
      </c>
      <c r="K808" s="241">
        <v>39224</v>
      </c>
      <c r="L808" s="173" t="s">
        <v>826</v>
      </c>
      <c r="M808" s="262" t="s">
        <v>785</v>
      </c>
      <c r="N808" s="256"/>
      <c r="O808" s="461">
        <f>CompletedProjects[[#This Row],[Power Plant Size (MW) or Share]]*0.593*9057*211.9*10^(-9)</f>
        <v>0</v>
      </c>
      <c r="P808" s="337">
        <f>CompletedProjects[[#This Row],[Annual Emissions (MMTCO2)]]*40</f>
        <v>0</v>
      </c>
      <c r="Q808" s="167"/>
      <c r="R808" s="167" t="s">
        <v>400</v>
      </c>
      <c r="S808" s="167" t="s">
        <v>633</v>
      </c>
      <c r="T808" s="167" t="s">
        <v>537</v>
      </c>
      <c r="U808" s="2"/>
      <c r="V808" s="2"/>
      <c r="Y808" s="2"/>
    </row>
    <row r="809" spans="1:25" ht="172">
      <c r="A809" s="167" t="s">
        <v>78</v>
      </c>
      <c r="B809" s="167" t="s">
        <v>401</v>
      </c>
      <c r="C809" s="182" t="s">
        <v>464</v>
      </c>
      <c r="D809" s="172">
        <f>4200000*'Dev Bank Share by Country'!$E$113</f>
        <v>23830.346178972683</v>
      </c>
      <c r="E809" s="173" t="s">
        <v>448</v>
      </c>
      <c r="F809" s="173" t="s">
        <v>449</v>
      </c>
      <c r="G809" s="262" t="s">
        <v>792</v>
      </c>
      <c r="H809" s="173" t="s">
        <v>450</v>
      </c>
      <c r="I809" s="173" t="s">
        <v>40</v>
      </c>
      <c r="J809" s="173" t="s">
        <v>1502</v>
      </c>
      <c r="K809" s="241">
        <v>41404</v>
      </c>
      <c r="L809" s="173" t="s">
        <v>925</v>
      </c>
      <c r="M809" s="262"/>
      <c r="N809" s="256"/>
      <c r="O809" s="461">
        <f>CompletedProjects[[#This Row],[Power Plant Size (MW) or Share]]*0.593*9057*211.9*10^(-9)</f>
        <v>0</v>
      </c>
      <c r="P809" s="337">
        <f>CompletedProjects[[#This Row],[Annual Emissions (MMTCO2)]]*40</f>
        <v>0</v>
      </c>
      <c r="Q809" s="167"/>
      <c r="R809" s="167" t="s">
        <v>400</v>
      </c>
      <c r="S809" s="167" t="s">
        <v>465</v>
      </c>
      <c r="T809" s="167"/>
      <c r="U809" s="2"/>
      <c r="V809" s="2"/>
      <c r="Y809" s="2"/>
    </row>
    <row r="810" spans="1:25" ht="157.69999999999999">
      <c r="A810" s="167" t="s">
        <v>78</v>
      </c>
      <c r="B810" s="167" t="s">
        <v>513</v>
      </c>
      <c r="C810" s="182" t="s">
        <v>464</v>
      </c>
      <c r="D810" s="172">
        <f>180000000*'Dev Bank Share by Country'!$C$113</f>
        <v>1638000</v>
      </c>
      <c r="E810" s="173" t="s">
        <v>425</v>
      </c>
      <c r="F810" s="173" t="s">
        <v>426</v>
      </c>
      <c r="G810" s="262" t="s">
        <v>770</v>
      </c>
      <c r="H810" s="173" t="s">
        <v>65</v>
      </c>
      <c r="I810" s="180" t="s">
        <v>283</v>
      </c>
      <c r="J810" s="173" t="s">
        <v>277</v>
      </c>
      <c r="K810" s="241">
        <v>39982</v>
      </c>
      <c r="L810" s="173" t="s">
        <v>921</v>
      </c>
      <c r="M810" s="273"/>
      <c r="N810" s="256">
        <f>420/19</f>
        <v>22.105263157894736</v>
      </c>
      <c r="O810" s="461">
        <f>CompletedProjects[[#This Row],[Power Plant Size (MW) or Share]]*0.593*9057*211.9*10^(-9)</f>
        <v>2.5157397231473682E-2</v>
      </c>
      <c r="P810" s="337">
        <f>CompletedProjects[[#This Row],[Annual Emissions (MMTCO2)]]*40</f>
        <v>1.0062958892589473</v>
      </c>
      <c r="Q810" s="167"/>
      <c r="R810" s="167" t="s">
        <v>638</v>
      </c>
      <c r="S810" s="167" t="s">
        <v>466</v>
      </c>
      <c r="T810" s="167"/>
      <c r="U810" s="2"/>
      <c r="V810" s="2"/>
      <c r="Y810" s="2"/>
    </row>
    <row r="811" spans="1:25" ht="100.35">
      <c r="A811" s="167" t="s">
        <v>78</v>
      </c>
      <c r="B811" s="167" t="s">
        <v>511</v>
      </c>
      <c r="C811" s="167" t="s">
        <v>464</v>
      </c>
      <c r="D811" s="172">
        <f>25000000*'Dev Bank Share by Country'!$G$113</f>
        <v>297444.50242051162</v>
      </c>
      <c r="E811" s="173" t="s">
        <v>398</v>
      </c>
      <c r="F811" s="173" t="s">
        <v>398</v>
      </c>
      <c r="G811" s="262" t="s">
        <v>787</v>
      </c>
      <c r="H811" s="173" t="s">
        <v>399</v>
      </c>
      <c r="I811" s="180" t="s">
        <v>283</v>
      </c>
      <c r="J811" s="173" t="s">
        <v>26</v>
      </c>
      <c r="K811" s="241">
        <v>39204</v>
      </c>
      <c r="L811" s="173" t="s">
        <v>915</v>
      </c>
      <c r="M811" s="262"/>
      <c r="N811" s="256">
        <f>30/20</f>
        <v>1.5</v>
      </c>
      <c r="O811" s="461">
        <f>CompletedProjects[[#This Row],[Power Plant Size (MW) or Share]]*0.593*9057*211.9*10^(-9)</f>
        <v>1.7071090978499999E-3</v>
      </c>
      <c r="P811" s="337">
        <f>CompletedProjects[[#This Row],[Annual Emissions (MMTCO2)]]*40</f>
        <v>6.8284363914000001E-2</v>
      </c>
      <c r="Q811" s="176"/>
      <c r="R811" s="167" t="s">
        <v>635</v>
      </c>
      <c r="S811" s="167" t="s">
        <v>465</v>
      </c>
      <c r="T811" s="167"/>
      <c r="U811" s="2"/>
      <c r="V811" s="2"/>
      <c r="Y811" s="2"/>
    </row>
    <row r="812" spans="1:25" ht="57.35">
      <c r="A812" s="181" t="s">
        <v>78</v>
      </c>
      <c r="B812" s="182" t="s">
        <v>559</v>
      </c>
      <c r="C812" s="182" t="s">
        <v>464</v>
      </c>
      <c r="D812" s="172">
        <v>170967.90756173379</v>
      </c>
      <c r="E812" s="173" t="s">
        <v>592</v>
      </c>
      <c r="F812" s="173" t="s">
        <v>599</v>
      </c>
      <c r="G812" s="262" t="s">
        <v>799</v>
      </c>
      <c r="H812" s="173" t="s">
        <v>201</v>
      </c>
      <c r="I812" s="173" t="s">
        <v>40</v>
      </c>
      <c r="J812" s="173" t="s">
        <v>40</v>
      </c>
      <c r="K812" s="240">
        <v>40310</v>
      </c>
      <c r="L812" s="173" t="s">
        <v>1692</v>
      </c>
      <c r="M812" s="262" t="s">
        <v>908</v>
      </c>
      <c r="N812" s="337"/>
      <c r="O812" s="461">
        <f>CompletedProjects[[#This Row],[Power Plant Size (MW) or Share]]*0.593*9057*211.9*10^(-9)</f>
        <v>0</v>
      </c>
      <c r="P812" s="337">
        <f>CompletedProjects[[#This Row],[Annual Emissions (MMTCO2)]]*40</f>
        <v>0</v>
      </c>
      <c r="Q812" s="176">
        <v>0.3</v>
      </c>
      <c r="R812" s="178"/>
      <c r="S812" s="167"/>
      <c r="T812" s="178"/>
      <c r="U812" s="2"/>
      <c r="V812" s="2"/>
      <c r="Y812" s="2"/>
    </row>
    <row r="813" spans="1:25" ht="114.7">
      <c r="A813" s="167" t="s">
        <v>78</v>
      </c>
      <c r="B813" s="171" t="s">
        <v>559</v>
      </c>
      <c r="C813" s="171" t="s">
        <v>464</v>
      </c>
      <c r="D813" s="172">
        <v>162610.57353999789</v>
      </c>
      <c r="E813" s="173" t="s">
        <v>606</v>
      </c>
      <c r="F813" s="173" t="s">
        <v>607</v>
      </c>
      <c r="G813" s="262" t="s">
        <v>730</v>
      </c>
      <c r="H813" s="173" t="s">
        <v>56</v>
      </c>
      <c r="I813" s="173" t="s">
        <v>40</v>
      </c>
      <c r="J813" s="173" t="s">
        <v>40</v>
      </c>
      <c r="K813" s="240">
        <v>40750</v>
      </c>
      <c r="L813" s="173" t="s">
        <v>1696</v>
      </c>
      <c r="M813" s="262" t="s">
        <v>912</v>
      </c>
      <c r="N813" s="337"/>
      <c r="O813" s="461">
        <f>CompletedProjects[[#This Row],[Power Plant Size (MW) or Share]]*0.593*9057*211.9*10^(-9)</f>
        <v>0</v>
      </c>
      <c r="P813" s="337">
        <f>CompletedProjects[[#This Row],[Annual Emissions (MMTCO2)]]*40</f>
        <v>0</v>
      </c>
      <c r="Q813" s="176"/>
      <c r="R813" s="178"/>
      <c r="S813" s="167"/>
      <c r="T813" s="178"/>
      <c r="U813" s="2"/>
      <c r="V813" s="2"/>
      <c r="Y813" s="2"/>
    </row>
    <row r="814" spans="1:25" ht="229.35">
      <c r="A814" s="167" t="s">
        <v>78</v>
      </c>
      <c r="B814" s="167" t="s">
        <v>513</v>
      </c>
      <c r="C814" s="167" t="s">
        <v>464</v>
      </c>
      <c r="D814" s="172">
        <f>1000000000*'Dev Bank Share by Country'!$C$113</f>
        <v>9100000</v>
      </c>
      <c r="E814" s="173" t="s">
        <v>425</v>
      </c>
      <c r="F814" s="173" t="s">
        <v>427</v>
      </c>
      <c r="G814" s="262" t="s">
        <v>778</v>
      </c>
      <c r="H814" s="173" t="s">
        <v>65</v>
      </c>
      <c r="I814" s="173" t="s">
        <v>1507</v>
      </c>
      <c r="J814" s="173" t="s">
        <v>428</v>
      </c>
      <c r="K814" s="241">
        <v>40078</v>
      </c>
      <c r="L814" s="173" t="s">
        <v>824</v>
      </c>
      <c r="M814" s="262"/>
      <c r="N814" s="256"/>
      <c r="O814" s="461">
        <f>CompletedProjects[[#This Row],[Power Plant Size (MW) or Share]]*0.593*9057*211.9*10^(-9)</f>
        <v>0</v>
      </c>
      <c r="P814" s="337">
        <f>CompletedProjects[[#This Row],[Annual Emissions (MMTCO2)]]*40</f>
        <v>0</v>
      </c>
      <c r="Q814" s="167"/>
      <c r="R814" s="167" t="s">
        <v>400</v>
      </c>
      <c r="S814" s="167" t="s">
        <v>465</v>
      </c>
      <c r="T814" s="167"/>
      <c r="U814" s="2"/>
      <c r="V814" s="2"/>
      <c r="Y814" s="2"/>
    </row>
    <row r="815" spans="1:25" ht="100.35">
      <c r="A815" s="167" t="s">
        <v>78</v>
      </c>
      <c r="B815" s="182" t="s">
        <v>511</v>
      </c>
      <c r="C815" s="182" t="s">
        <v>464</v>
      </c>
      <c r="D815" s="172">
        <f>46500000*'Dev Bank Share by Country'!$G$113</f>
        <v>553246.77450215165</v>
      </c>
      <c r="E815" s="173" t="s">
        <v>423</v>
      </c>
      <c r="F815" s="173" t="s">
        <v>424</v>
      </c>
      <c r="G815" s="262" t="s">
        <v>774</v>
      </c>
      <c r="H815" s="173" t="s">
        <v>65</v>
      </c>
      <c r="I815" s="173" t="s">
        <v>284</v>
      </c>
      <c r="J815" s="173" t="s">
        <v>79</v>
      </c>
      <c r="K815" s="241">
        <v>39898</v>
      </c>
      <c r="L815" s="173" t="s">
        <v>920</v>
      </c>
      <c r="M815" s="273"/>
      <c r="N815" s="256"/>
      <c r="O815" s="461">
        <f>CompletedProjects[[#This Row],[Power Plant Size (MW) or Share]]*0.593*9057*211.9*10^(-9)</f>
        <v>0</v>
      </c>
      <c r="P815" s="337">
        <f>CompletedProjects[[#This Row],[Annual Emissions (MMTCO2)]]*40</f>
        <v>0</v>
      </c>
      <c r="Q815" s="167"/>
      <c r="R815" s="167" t="s">
        <v>400</v>
      </c>
      <c r="S815" s="167" t="s">
        <v>465</v>
      </c>
      <c r="T815" s="167"/>
      <c r="U815" s="2"/>
      <c r="V815" s="2"/>
      <c r="Y815" s="2"/>
    </row>
    <row r="816" spans="1:25" ht="272.35000000000002">
      <c r="A816" s="167" t="s">
        <v>78</v>
      </c>
      <c r="B816" s="167" t="s">
        <v>513</v>
      </c>
      <c r="C816" s="171" t="s">
        <v>464</v>
      </c>
      <c r="D816" s="172">
        <f>29600000*'Dev Bank Share by Country'!$C$113</f>
        <v>269360</v>
      </c>
      <c r="E816" s="173" t="s">
        <v>266</v>
      </c>
      <c r="F816" s="173" t="s">
        <v>444</v>
      </c>
      <c r="G816" s="262" t="s">
        <v>781</v>
      </c>
      <c r="H816" s="173" t="s">
        <v>85</v>
      </c>
      <c r="I816" s="173" t="s">
        <v>284</v>
      </c>
      <c r="J816" s="173" t="s">
        <v>1498</v>
      </c>
      <c r="K816" s="241">
        <v>41163</v>
      </c>
      <c r="L816" s="173" t="s">
        <v>825</v>
      </c>
      <c r="M816" s="262"/>
      <c r="N816" s="256"/>
      <c r="O816" s="461">
        <f>CompletedProjects[[#This Row],[Power Plant Size (MW) or Share]]*0.593*9057*211.9*10^(-9)</f>
        <v>0</v>
      </c>
      <c r="P816" s="337">
        <f>CompletedProjects[[#This Row],[Annual Emissions (MMTCO2)]]*40</f>
        <v>0</v>
      </c>
      <c r="Q816" s="167"/>
      <c r="R816" s="167" t="s">
        <v>400</v>
      </c>
      <c r="S816" s="167" t="s">
        <v>465</v>
      </c>
      <c r="T816" s="167"/>
      <c r="U816" s="2"/>
      <c r="V816" s="2"/>
      <c r="Y816" s="2"/>
    </row>
    <row r="817" spans="1:25" ht="43">
      <c r="A817" s="167" t="s">
        <v>78</v>
      </c>
      <c r="B817" s="182" t="s">
        <v>559</v>
      </c>
      <c r="C817" s="182" t="s">
        <v>464</v>
      </c>
      <c r="D817" s="172">
        <v>23916.223143537329</v>
      </c>
      <c r="E817" s="173" t="s">
        <v>598</v>
      </c>
      <c r="F817" s="173" t="s">
        <v>598</v>
      </c>
      <c r="G817" s="262" t="s">
        <v>798</v>
      </c>
      <c r="H817" s="173" t="s">
        <v>201</v>
      </c>
      <c r="I817" s="173" t="s">
        <v>40</v>
      </c>
      <c r="J817" s="173" t="s">
        <v>40</v>
      </c>
      <c r="K817" s="240">
        <v>40199</v>
      </c>
      <c r="L817" s="269" t="s">
        <v>1691</v>
      </c>
      <c r="M817" s="262"/>
      <c r="N817" s="337"/>
      <c r="O817" s="461">
        <f>CompletedProjects[[#This Row],[Power Plant Size (MW) or Share]]*0.593*9057*211.9*10^(-9)</f>
        <v>0</v>
      </c>
      <c r="P817" s="337">
        <f>CompletedProjects[[#This Row],[Annual Emissions (MMTCO2)]]*40</f>
        <v>0</v>
      </c>
      <c r="Q817" s="176"/>
      <c r="R817" s="178"/>
      <c r="S817" s="167"/>
      <c r="T817" s="178"/>
      <c r="U817" s="2"/>
      <c r="V817" s="2"/>
      <c r="Y817" s="2"/>
    </row>
    <row r="818" spans="1:25" ht="157.69999999999999">
      <c r="A818" s="167" t="s">
        <v>78</v>
      </c>
      <c r="B818" s="167" t="s">
        <v>401</v>
      </c>
      <c r="C818" s="182" t="s">
        <v>464</v>
      </c>
      <c r="D818" s="172">
        <f>2000000*'Dev Bank Share by Country'!$E$113</f>
        <v>11347.783894748896</v>
      </c>
      <c r="E818" s="173" t="s">
        <v>410</v>
      </c>
      <c r="F818" s="173" t="s">
        <v>411</v>
      </c>
      <c r="G818" s="262" t="s">
        <v>777</v>
      </c>
      <c r="H818" s="173" t="s">
        <v>412</v>
      </c>
      <c r="I818" s="173" t="s">
        <v>284</v>
      </c>
      <c r="J818" s="173" t="s">
        <v>1498</v>
      </c>
      <c r="K818" s="241">
        <v>39261</v>
      </c>
      <c r="L818" s="173" t="s">
        <v>916</v>
      </c>
      <c r="M818" s="262"/>
      <c r="N818" s="256"/>
      <c r="O818" s="461">
        <f>CompletedProjects[[#This Row],[Power Plant Size (MW) or Share]]*0.593*9057*211.9*10^(-9)</f>
        <v>0</v>
      </c>
      <c r="P818" s="337">
        <f>CompletedProjects[[#This Row],[Annual Emissions (MMTCO2)]]*40</f>
        <v>0</v>
      </c>
      <c r="Q818" s="167"/>
      <c r="R818" s="167" t="s">
        <v>400</v>
      </c>
      <c r="S818" s="167" t="s">
        <v>633</v>
      </c>
      <c r="T818" s="167"/>
      <c r="U818" s="2"/>
      <c r="V818" s="2"/>
      <c r="Y818" s="2"/>
    </row>
    <row r="819" spans="1:25" ht="114.7">
      <c r="A819" s="167" t="s">
        <v>78</v>
      </c>
      <c r="B819" s="167" t="s">
        <v>513</v>
      </c>
      <c r="C819" s="182" t="s">
        <v>464</v>
      </c>
      <c r="D819" s="172">
        <f>180000000*'Dev Bank Share by Country'!$C$113</f>
        <v>1638000</v>
      </c>
      <c r="E819" s="173" t="s">
        <v>41</v>
      </c>
      <c r="F819" s="173" t="s">
        <v>432</v>
      </c>
      <c r="G819" s="262" t="s">
        <v>773</v>
      </c>
      <c r="H819" s="173" t="s">
        <v>25</v>
      </c>
      <c r="I819" s="180" t="s">
        <v>283</v>
      </c>
      <c r="J819" s="173" t="s">
        <v>26</v>
      </c>
      <c r="K819" s="241">
        <v>40276</v>
      </c>
      <c r="L819" s="173" t="s">
        <v>923</v>
      </c>
      <c r="M819" s="273"/>
      <c r="N819" s="337">
        <f>4800/19/2</f>
        <v>126.31578947368421</v>
      </c>
      <c r="O819" s="461">
        <f>CompletedProjects[[#This Row],[Power Plant Size (MW) or Share]]*0.593*9057*211.9*10^(-9)</f>
        <v>0.14375655560842107</v>
      </c>
      <c r="P819" s="337">
        <f>CompletedProjects[[#This Row],[Annual Emissions (MMTCO2)]]*40</f>
        <v>5.7502622243368426</v>
      </c>
      <c r="Q819" s="167"/>
      <c r="R819" s="178" t="s">
        <v>643</v>
      </c>
      <c r="S819" s="167" t="s">
        <v>465</v>
      </c>
      <c r="T819" s="178"/>
      <c r="U819" s="2"/>
      <c r="V819" s="2"/>
      <c r="Y819" s="2"/>
    </row>
    <row r="820" spans="1:25" ht="43">
      <c r="A820" s="181" t="s">
        <v>78</v>
      </c>
      <c r="B820" s="182" t="s">
        <v>559</v>
      </c>
      <c r="C820" s="182" t="s">
        <v>464</v>
      </c>
      <c r="D820" s="172">
        <v>28173.343688579615</v>
      </c>
      <c r="E820" s="173" t="s">
        <v>592</v>
      </c>
      <c r="F820" s="173" t="s">
        <v>593</v>
      </c>
      <c r="G820" s="262" t="s">
        <v>795</v>
      </c>
      <c r="H820" s="173" t="s">
        <v>201</v>
      </c>
      <c r="I820" s="173" t="s">
        <v>40</v>
      </c>
      <c r="J820" s="173" t="s">
        <v>40</v>
      </c>
      <c r="K820" s="240">
        <v>39854</v>
      </c>
      <c r="L820" s="183" t="s">
        <v>1689</v>
      </c>
      <c r="M820" s="262"/>
      <c r="N820" s="337"/>
      <c r="O820" s="461">
        <f>CompletedProjects[[#This Row],[Power Plant Size (MW) or Share]]*0.593*9057*211.9*10^(-9)</f>
        <v>0</v>
      </c>
      <c r="P820" s="337">
        <f>CompletedProjects[[#This Row],[Annual Emissions (MMTCO2)]]*40</f>
        <v>0</v>
      </c>
      <c r="Q820" s="176"/>
      <c r="R820" s="173" t="s">
        <v>907</v>
      </c>
      <c r="S820" s="167"/>
      <c r="T820" s="173"/>
      <c r="U820" s="2"/>
      <c r="V820" s="2"/>
      <c r="Y820" s="2"/>
    </row>
    <row r="821" spans="1:25" ht="43">
      <c r="A821" s="167" t="s">
        <v>78</v>
      </c>
      <c r="B821" s="171" t="s">
        <v>511</v>
      </c>
      <c r="C821" s="171" t="s">
        <v>464</v>
      </c>
      <c r="D821" s="172">
        <f>740000000*'Dev Bank Share by Country'!$G$113</f>
        <v>8804357.2716471441</v>
      </c>
      <c r="E821" s="173" t="s">
        <v>418</v>
      </c>
      <c r="F821" s="173" t="s">
        <v>419</v>
      </c>
      <c r="G821" s="262" t="s">
        <v>765</v>
      </c>
      <c r="H821" s="173" t="s">
        <v>144</v>
      </c>
      <c r="I821" s="180" t="s">
        <v>283</v>
      </c>
      <c r="J821" s="183" t="s">
        <v>26</v>
      </c>
      <c r="K821" s="241">
        <v>39520</v>
      </c>
      <c r="L821" s="202" t="s">
        <v>817</v>
      </c>
      <c r="M821" s="262"/>
      <c r="N821" s="256">
        <f>330/19</f>
        <v>17.368421052631579</v>
      </c>
      <c r="O821" s="461">
        <f>CompletedProjects[[#This Row],[Power Plant Size (MW) or Share]]*0.593*9057*211.9*10^(-9)</f>
        <v>1.9766526396157894E-2</v>
      </c>
      <c r="P821" s="337">
        <f>CompletedProjects[[#This Row],[Annual Emissions (MMTCO2)]]*40</f>
        <v>0.79066105584631574</v>
      </c>
      <c r="Q821" s="176"/>
      <c r="R821" s="167" t="s">
        <v>400</v>
      </c>
      <c r="S821" s="167" t="s">
        <v>633</v>
      </c>
      <c r="T821" s="167"/>
      <c r="U821" s="2"/>
      <c r="V821" s="2"/>
      <c r="Y821" s="2"/>
    </row>
    <row r="822" spans="1:25" ht="43">
      <c r="A822" s="218" t="s">
        <v>78</v>
      </c>
      <c r="B822" s="218" t="s">
        <v>559</v>
      </c>
      <c r="C822" s="218" t="s">
        <v>464</v>
      </c>
      <c r="D822" s="172">
        <v>84456.594252327966</v>
      </c>
      <c r="E822" s="173" t="s">
        <v>602</v>
      </c>
      <c r="F822" s="173" t="s">
        <v>603</v>
      </c>
      <c r="G822" s="262" t="s">
        <v>801</v>
      </c>
      <c r="H822" s="173" t="s">
        <v>39</v>
      </c>
      <c r="I822" s="180" t="s">
        <v>283</v>
      </c>
      <c r="J822" s="173" t="s">
        <v>277</v>
      </c>
      <c r="K822" s="240">
        <v>40561</v>
      </c>
      <c r="L822" s="173" t="s">
        <v>910</v>
      </c>
      <c r="M822" s="262"/>
      <c r="N822" s="337">
        <f>60/12</f>
        <v>5</v>
      </c>
      <c r="O822" s="461">
        <f>CompletedProjects[[#This Row],[Power Plant Size (MW) or Share]]*0.593*9057*211.9*10^(-9)</f>
        <v>5.6903636594999992E-3</v>
      </c>
      <c r="P822" s="337">
        <f>CompletedProjects[[#This Row],[Annual Emissions (MMTCO2)]]*40</f>
        <v>0.22761454637999998</v>
      </c>
      <c r="Q822" s="176"/>
      <c r="R822" s="178" t="s">
        <v>537</v>
      </c>
      <c r="S822" s="167"/>
      <c r="T822" s="178"/>
      <c r="U822" s="2"/>
      <c r="V822" s="2"/>
      <c r="Y822" s="2"/>
    </row>
    <row r="823" spans="1:25" ht="57.35">
      <c r="A823" s="167" t="s">
        <v>78</v>
      </c>
      <c r="B823" s="182" t="s">
        <v>559</v>
      </c>
      <c r="C823" s="182" t="s">
        <v>464</v>
      </c>
      <c r="D823" s="172">
        <v>106522.06078612697</v>
      </c>
      <c r="E823" s="173" t="s">
        <v>610</v>
      </c>
      <c r="F823" s="173" t="s">
        <v>610</v>
      </c>
      <c r="G823" s="262" t="s">
        <v>1604</v>
      </c>
      <c r="H823" s="173" t="s">
        <v>368</v>
      </c>
      <c r="I823" s="173" t="s">
        <v>40</v>
      </c>
      <c r="J823" s="173" t="s">
        <v>40</v>
      </c>
      <c r="K823" s="240">
        <v>41264</v>
      </c>
      <c r="L823" s="173" t="s">
        <v>1695</v>
      </c>
      <c r="M823" s="262"/>
      <c r="N823" s="337"/>
      <c r="O823" s="461">
        <f>CompletedProjects[[#This Row],[Power Plant Size (MW) or Share]]*0.593*9057*211.9*10^(-9)</f>
        <v>0</v>
      </c>
      <c r="P823" s="337">
        <f>CompletedProjects[[#This Row],[Annual Emissions (MMTCO2)]]*40</f>
        <v>0</v>
      </c>
      <c r="Q823" s="176"/>
      <c r="R823" s="178"/>
      <c r="S823" s="167"/>
      <c r="T823" s="178"/>
      <c r="U823" s="2"/>
      <c r="V823" s="2"/>
      <c r="Y823" s="2"/>
    </row>
    <row r="824" spans="1:25" ht="258">
      <c r="A824" s="167" t="s">
        <v>78</v>
      </c>
      <c r="B824" s="167" t="s">
        <v>401</v>
      </c>
      <c r="C824" s="182" t="s">
        <v>464</v>
      </c>
      <c r="D824" s="172">
        <f>11000000*'Dev Bank Share by Country'!$E$113</f>
        <v>62412.811421118931</v>
      </c>
      <c r="E824" s="173" t="s">
        <v>420</v>
      </c>
      <c r="F824" s="173" t="s">
        <v>421</v>
      </c>
      <c r="G824" s="262" t="s">
        <v>769</v>
      </c>
      <c r="H824" s="173" t="s">
        <v>422</v>
      </c>
      <c r="I824" s="180" t="s">
        <v>283</v>
      </c>
      <c r="J824" s="173" t="s">
        <v>277</v>
      </c>
      <c r="K824" s="241">
        <v>39777</v>
      </c>
      <c r="L824" s="197"/>
      <c r="M824" s="273"/>
      <c r="N824" s="256"/>
      <c r="O824" s="461">
        <f>CompletedProjects[[#This Row],[Power Plant Size (MW) or Share]]*0.593*9057*211.9*10^(-9)</f>
        <v>0</v>
      </c>
      <c r="P824" s="337">
        <f>CompletedProjects[[#This Row],[Annual Emissions (MMTCO2)]]*40</f>
        <v>0</v>
      </c>
      <c r="Q824" s="167"/>
      <c r="R824" s="173" t="s">
        <v>834</v>
      </c>
      <c r="S824" s="167" t="s">
        <v>633</v>
      </c>
      <c r="T824" s="173"/>
      <c r="U824" s="2"/>
      <c r="V824" s="2"/>
      <c r="Y824" s="2"/>
    </row>
    <row r="825" spans="1:25" ht="114.7">
      <c r="A825" s="167" t="s">
        <v>78</v>
      </c>
      <c r="B825" s="171" t="s">
        <v>559</v>
      </c>
      <c r="C825" s="171" t="s">
        <v>464</v>
      </c>
      <c r="D825" s="172">
        <v>303377.93570895126</v>
      </c>
      <c r="E825" s="173" t="s">
        <v>560</v>
      </c>
      <c r="F825" s="173" t="s">
        <v>561</v>
      </c>
      <c r="G825" s="262" t="s">
        <v>790</v>
      </c>
      <c r="H825" s="173" t="s">
        <v>56</v>
      </c>
      <c r="I825" s="173" t="s">
        <v>284</v>
      </c>
      <c r="J825" s="173" t="s">
        <v>79</v>
      </c>
      <c r="K825" s="240">
        <v>42278</v>
      </c>
      <c r="L825" s="173" t="s">
        <v>865</v>
      </c>
      <c r="M825" s="262" t="s">
        <v>866</v>
      </c>
      <c r="N825" s="337"/>
      <c r="O825" s="461">
        <f>CompletedProjects[[#This Row],[Power Plant Size (MW) or Share]]*0.593*9057*211.9*10^(-9)</f>
        <v>0</v>
      </c>
      <c r="P825" s="337">
        <f>CompletedProjects[[#This Row],[Annual Emissions (MMTCO2)]]*40</f>
        <v>0</v>
      </c>
      <c r="Q825" s="176"/>
      <c r="R825" s="178"/>
      <c r="S825" s="167"/>
      <c r="T825" s="178"/>
      <c r="U825" s="2"/>
      <c r="V825" s="2"/>
      <c r="Y825" s="2"/>
    </row>
    <row r="826" spans="1:25" ht="28.7">
      <c r="A826" s="173" t="s">
        <v>78</v>
      </c>
      <c r="B826" s="173" t="s">
        <v>508</v>
      </c>
      <c r="C826" s="173" t="s">
        <v>464</v>
      </c>
      <c r="D826" s="172">
        <f>147000000*'Dev Bank Share by Country'!$O$113</f>
        <v>10165453.55286343</v>
      </c>
      <c r="E826" s="173" t="s">
        <v>471</v>
      </c>
      <c r="F826" s="173" t="s">
        <v>472</v>
      </c>
      <c r="G826" s="262" t="s">
        <v>930</v>
      </c>
      <c r="H826" s="173" t="s">
        <v>473</v>
      </c>
      <c r="I826" s="180" t="s">
        <v>283</v>
      </c>
      <c r="J826" s="173" t="s">
        <v>26</v>
      </c>
      <c r="K826" s="241">
        <v>39892</v>
      </c>
      <c r="L826" s="197"/>
      <c r="M826" s="262"/>
      <c r="N826" s="150">
        <f>720/12</f>
        <v>60</v>
      </c>
      <c r="O826" s="461">
        <f>CompletedProjects[[#This Row],[Power Plant Size (MW) or Share]]*0.593*9057*211.9*10^(-9)</f>
        <v>6.8284363914000015E-2</v>
      </c>
      <c r="P826" s="337">
        <f>CompletedProjects[[#This Row],[Annual Emissions (MMTCO2)]]*40</f>
        <v>2.7313745565600005</v>
      </c>
      <c r="Q826" s="203"/>
      <c r="R826" s="173"/>
      <c r="S826" s="167"/>
      <c r="T826" s="173"/>
      <c r="U826" s="2"/>
      <c r="V826" s="2"/>
      <c r="Y826" s="2"/>
    </row>
    <row r="827" spans="1:25" ht="43">
      <c r="A827" s="183" t="s">
        <v>78</v>
      </c>
      <c r="B827" s="183" t="s">
        <v>508</v>
      </c>
      <c r="C827" s="183" t="s">
        <v>464</v>
      </c>
      <c r="D827" s="172">
        <f>50000000*'Dev Bank Share by Country'!$O$113</f>
        <v>3457637.2628787174</v>
      </c>
      <c r="E827" s="173" t="s">
        <v>475</v>
      </c>
      <c r="F827" s="173" t="s">
        <v>476</v>
      </c>
      <c r="G827" s="262" t="s">
        <v>931</v>
      </c>
      <c r="H827" s="173" t="s">
        <v>473</v>
      </c>
      <c r="I827" s="180" t="s">
        <v>283</v>
      </c>
      <c r="J827" s="173" t="s">
        <v>26</v>
      </c>
      <c r="K827" s="241">
        <v>39892</v>
      </c>
      <c r="L827" s="197"/>
      <c r="M827" s="262"/>
      <c r="N827" s="462">
        <f>360/12</f>
        <v>30</v>
      </c>
      <c r="O827" s="461">
        <f>CompletedProjects[[#This Row],[Power Plant Size (MW) or Share]]*0.593*9057*211.9*10^(-9)</f>
        <v>3.4142181957000008E-2</v>
      </c>
      <c r="P827" s="337">
        <f>CompletedProjects[[#This Row],[Annual Emissions (MMTCO2)]]*40</f>
        <v>1.3656872782800002</v>
      </c>
      <c r="Q827" s="203"/>
      <c r="R827" s="173"/>
      <c r="S827" s="167"/>
      <c r="T827" s="173"/>
      <c r="U827" s="2"/>
      <c r="V827" s="2"/>
      <c r="Y827" s="2"/>
    </row>
    <row r="828" spans="1:25" ht="86">
      <c r="A828" s="167" t="s">
        <v>78</v>
      </c>
      <c r="B828" s="182" t="s">
        <v>511</v>
      </c>
      <c r="C828" s="182" t="s">
        <v>464</v>
      </c>
      <c r="D828" s="172">
        <f>8000000*'Dev Bank Share by Country'!$G$113</f>
        <v>95182.240774563717</v>
      </c>
      <c r="E828" s="173" t="s">
        <v>405</v>
      </c>
      <c r="F828" s="173" t="s">
        <v>406</v>
      </c>
      <c r="G828" s="262" t="s">
        <v>786</v>
      </c>
      <c r="H828" s="173" t="s">
        <v>65</v>
      </c>
      <c r="I828" s="180" t="s">
        <v>283</v>
      </c>
      <c r="J828" s="173" t="s">
        <v>26</v>
      </c>
      <c r="K828" s="241">
        <v>39234</v>
      </c>
      <c r="L828" s="173" t="s">
        <v>815</v>
      </c>
      <c r="M828" s="262" t="s">
        <v>806</v>
      </c>
      <c r="N828" s="256">
        <f>600/19</f>
        <v>31.578947368421051</v>
      </c>
      <c r="O828" s="461">
        <f>CompletedProjects[[#This Row],[Power Plant Size (MW) or Share]]*0.593*9057*211.9*10^(-9)</f>
        <v>3.5939138902105268E-2</v>
      </c>
      <c r="P828" s="337">
        <f>CompletedProjects[[#This Row],[Annual Emissions (MMTCO2)]]*40</f>
        <v>1.4375655560842107</v>
      </c>
      <c r="Q828" s="167"/>
      <c r="R828" s="167" t="s">
        <v>467</v>
      </c>
      <c r="S828" s="167" t="s">
        <v>633</v>
      </c>
      <c r="T828" s="167"/>
      <c r="U828" s="2"/>
      <c r="V828" s="2"/>
      <c r="Y828" s="2"/>
    </row>
    <row r="829" spans="1:25" ht="114.7">
      <c r="A829" s="167" t="s">
        <v>78</v>
      </c>
      <c r="B829" s="182" t="s">
        <v>511</v>
      </c>
      <c r="C829" s="182" t="s">
        <v>464</v>
      </c>
      <c r="D829" s="172">
        <f>275000000*'Dev Bank Share by Country'!$G$113</f>
        <v>3271889.5266256277</v>
      </c>
      <c r="E829" s="173" t="s">
        <v>413</v>
      </c>
      <c r="F829" s="173" t="s">
        <v>413</v>
      </c>
      <c r="G829" s="262" t="s">
        <v>766</v>
      </c>
      <c r="H829" s="173" t="s">
        <v>95</v>
      </c>
      <c r="I829" s="180" t="s">
        <v>283</v>
      </c>
      <c r="J829" s="173" t="s">
        <v>277</v>
      </c>
      <c r="K829" s="241">
        <v>39394</v>
      </c>
      <c r="L829" s="173" t="s">
        <v>917</v>
      </c>
      <c r="M829" s="262"/>
      <c r="N829" s="256">
        <f>600/7/2</f>
        <v>42.857142857142854</v>
      </c>
      <c r="O829" s="461">
        <f>CompletedProjects[[#This Row],[Power Plant Size (MW) or Share]]*0.593*9057*211.9*10^(-9)</f>
        <v>4.8774545652857132E-2</v>
      </c>
      <c r="P829" s="337">
        <f>CompletedProjects[[#This Row],[Annual Emissions (MMTCO2)]]*40</f>
        <v>1.9509818261142853</v>
      </c>
      <c r="Q829" s="167"/>
      <c r="R829" s="167" t="s">
        <v>640</v>
      </c>
      <c r="S829" s="167" t="s">
        <v>465</v>
      </c>
      <c r="T829" s="167"/>
      <c r="U829" s="22"/>
      <c r="V829" s="2"/>
      <c r="X829" s="30"/>
      <c r="Y829" s="2"/>
    </row>
    <row r="830" spans="1:25" ht="43">
      <c r="A830" s="181" t="s">
        <v>78</v>
      </c>
      <c r="B830" s="182" t="s">
        <v>559</v>
      </c>
      <c r="C830" s="182" t="s">
        <v>464</v>
      </c>
      <c r="D830" s="172">
        <v>44293.178613506891</v>
      </c>
      <c r="E830" s="173" t="s">
        <v>588</v>
      </c>
      <c r="F830" s="173" t="s">
        <v>588</v>
      </c>
      <c r="G830" s="265" t="s">
        <v>793</v>
      </c>
      <c r="H830" s="173" t="s">
        <v>201</v>
      </c>
      <c r="I830" s="173" t="s">
        <v>40</v>
      </c>
      <c r="J830" s="173" t="s">
        <v>40</v>
      </c>
      <c r="K830" s="240">
        <v>39422</v>
      </c>
      <c r="L830" s="167" t="s">
        <v>905</v>
      </c>
      <c r="M830" s="262"/>
      <c r="N830" s="337"/>
      <c r="O830" s="461">
        <f>CompletedProjects[[#This Row],[Power Plant Size (MW) or Share]]*0.593*9057*211.9*10^(-9)</f>
        <v>0</v>
      </c>
      <c r="P830" s="337">
        <f>CompletedProjects[[#This Row],[Annual Emissions (MMTCO2)]]*40</f>
        <v>0</v>
      </c>
      <c r="Q830" s="176"/>
      <c r="R830" s="178" t="s">
        <v>537</v>
      </c>
      <c r="S830" s="167"/>
      <c r="T830" s="178"/>
      <c r="U830" s="2"/>
      <c r="V830" s="2"/>
      <c r="Y830" s="2"/>
    </row>
    <row r="831" spans="1:25" ht="172">
      <c r="A831" s="167" t="s">
        <v>78</v>
      </c>
      <c r="B831" s="167" t="s">
        <v>401</v>
      </c>
      <c r="C831" s="182" t="s">
        <v>464</v>
      </c>
      <c r="D831" s="172">
        <f>11250000*'Dev Bank Share by Country'!$E$113</f>
        <v>63831.284407962543</v>
      </c>
      <c r="E831" s="173" t="s">
        <v>270</v>
      </c>
      <c r="F831" s="173" t="s">
        <v>433</v>
      </c>
      <c r="G831" s="262" t="s">
        <v>767</v>
      </c>
      <c r="H831" s="173" t="s">
        <v>201</v>
      </c>
      <c r="I831" s="173" t="s">
        <v>40</v>
      </c>
      <c r="J831" s="173" t="s">
        <v>417</v>
      </c>
      <c r="K831" s="241">
        <v>40673</v>
      </c>
      <c r="L831" s="173" t="s">
        <v>828</v>
      </c>
      <c r="M831" s="273" t="s">
        <v>827</v>
      </c>
      <c r="N831" s="256"/>
      <c r="O831" s="461">
        <f>CompletedProjects[[#This Row],[Power Plant Size (MW) or Share]]*0.593*9057*211.9*10^(-9)</f>
        <v>0</v>
      </c>
      <c r="P831" s="337">
        <f>CompletedProjects[[#This Row],[Annual Emissions (MMTCO2)]]*40</f>
        <v>0</v>
      </c>
      <c r="Q831" s="167"/>
      <c r="R831" s="167" t="s">
        <v>400</v>
      </c>
      <c r="S831" s="167" t="s">
        <v>465</v>
      </c>
      <c r="T831" s="167"/>
      <c r="U831" s="2"/>
      <c r="V831" s="2"/>
      <c r="Y831" s="2"/>
    </row>
    <row r="832" spans="1:25" ht="71.7">
      <c r="A832" s="181" t="s">
        <v>78</v>
      </c>
      <c r="B832" s="182" t="s">
        <v>559</v>
      </c>
      <c r="C832" s="182" t="s">
        <v>464</v>
      </c>
      <c r="D832" s="172">
        <v>120389.11734275708</v>
      </c>
      <c r="E832" s="173" t="s">
        <v>591</v>
      </c>
      <c r="F832" s="173" t="s">
        <v>590</v>
      </c>
      <c r="G832" s="265" t="s">
        <v>794</v>
      </c>
      <c r="H832" s="173" t="s">
        <v>45</v>
      </c>
      <c r="I832" s="180" t="s">
        <v>283</v>
      </c>
      <c r="J832" s="173" t="s">
        <v>277</v>
      </c>
      <c r="K832" s="240">
        <v>39553</v>
      </c>
      <c r="L832" s="173" t="s">
        <v>906</v>
      </c>
      <c r="M832" s="262"/>
      <c r="N832" s="337"/>
      <c r="O832" s="461">
        <f>CompletedProjects[[#This Row],[Power Plant Size (MW) or Share]]*0.593*9057*211.9*10^(-9)</f>
        <v>0</v>
      </c>
      <c r="P832" s="337">
        <f>CompletedProjects[[#This Row],[Annual Emissions (MMTCO2)]]*40</f>
        <v>0</v>
      </c>
      <c r="Q832" s="176"/>
      <c r="R832" s="178"/>
      <c r="S832" s="167"/>
      <c r="T832" s="178"/>
      <c r="U832" s="2"/>
      <c r="V832" s="2"/>
      <c r="Y832" s="2"/>
    </row>
    <row r="833" spans="1:25" ht="43">
      <c r="A833" s="181" t="s">
        <v>78</v>
      </c>
      <c r="B833" s="182" t="s">
        <v>559</v>
      </c>
      <c r="C833" s="182" t="s">
        <v>464</v>
      </c>
      <c r="D833" s="172"/>
      <c r="E833" s="173" t="s">
        <v>611</v>
      </c>
      <c r="F833" s="173" t="s">
        <v>612</v>
      </c>
      <c r="G833" s="262" t="s">
        <v>804</v>
      </c>
      <c r="H833" s="173" t="s">
        <v>613</v>
      </c>
      <c r="I833" s="180" t="s">
        <v>283</v>
      </c>
      <c r="J833" s="173" t="s">
        <v>277</v>
      </c>
      <c r="K833" s="240">
        <v>39814</v>
      </c>
      <c r="L833" s="197"/>
      <c r="M833" s="262"/>
      <c r="N833" s="337"/>
      <c r="O833" s="461">
        <f>CompletedProjects[[#This Row],[Power Plant Size (MW) or Share]]*0.593*9057*211.9*10^(-9)</f>
        <v>0</v>
      </c>
      <c r="P833" s="337">
        <f>CompletedProjects[[#This Row],[Annual Emissions (MMTCO2)]]*40</f>
        <v>0</v>
      </c>
      <c r="Q833" s="176"/>
      <c r="R833" s="173" t="s">
        <v>914</v>
      </c>
      <c r="S833" s="167" t="s">
        <v>1688</v>
      </c>
      <c r="T833" s="173"/>
      <c r="U833" s="2"/>
      <c r="V833" s="2"/>
      <c r="Y833" s="2"/>
    </row>
    <row r="834" spans="1:25" ht="71.7">
      <c r="A834" s="181" t="s">
        <v>78</v>
      </c>
      <c r="B834" s="182" t="s">
        <v>559</v>
      </c>
      <c r="C834" s="182" t="s">
        <v>464</v>
      </c>
      <c r="D834" s="172">
        <v>81912.042641416847</v>
      </c>
      <c r="E834" s="173" t="s">
        <v>604</v>
      </c>
      <c r="F834" s="173" t="s">
        <v>605</v>
      </c>
      <c r="G834" s="262" t="s">
        <v>802</v>
      </c>
      <c r="H834" s="173" t="s">
        <v>493</v>
      </c>
      <c r="I834" s="180" t="s">
        <v>283</v>
      </c>
      <c r="J834" s="173" t="s">
        <v>277</v>
      </c>
      <c r="K834" s="240">
        <v>40589</v>
      </c>
      <c r="L834" s="173" t="s">
        <v>1693</v>
      </c>
      <c r="M834" s="262"/>
      <c r="N834" s="337">
        <f>154/12</f>
        <v>12.833333333333334</v>
      </c>
      <c r="O834" s="461">
        <f>CompletedProjects[[#This Row],[Power Plant Size (MW) or Share]]*0.593*9057*211.9*10^(-9)</f>
        <v>1.460526672605E-2</v>
      </c>
      <c r="P834" s="337">
        <f>CompletedProjects[[#This Row],[Annual Emissions (MMTCO2)]]*40</f>
        <v>0.58421066904200003</v>
      </c>
      <c r="Q834" s="176"/>
      <c r="R834" s="178" t="s">
        <v>537</v>
      </c>
      <c r="S834" s="167"/>
      <c r="T834" s="178"/>
      <c r="U834" s="2"/>
      <c r="V834" s="2"/>
      <c r="Y834" s="2"/>
    </row>
    <row r="835" spans="1:25" ht="43">
      <c r="A835" s="181" t="s">
        <v>78</v>
      </c>
      <c r="B835" s="182" t="s">
        <v>559</v>
      </c>
      <c r="C835" s="182" t="s">
        <v>464</v>
      </c>
      <c r="D835" s="172">
        <v>52083.924002512758</v>
      </c>
      <c r="E835" s="173" t="s">
        <v>587</v>
      </c>
      <c r="F835" s="173" t="s">
        <v>587</v>
      </c>
      <c r="G835" s="262" t="s">
        <v>792</v>
      </c>
      <c r="H835" s="173" t="s">
        <v>39</v>
      </c>
      <c r="I835" s="180" t="s">
        <v>283</v>
      </c>
      <c r="J835" s="173" t="s">
        <v>277</v>
      </c>
      <c r="K835" s="240">
        <v>39415</v>
      </c>
      <c r="L835" s="167" t="s">
        <v>904</v>
      </c>
      <c r="M835" s="262"/>
      <c r="N835" s="338">
        <f>550/12</f>
        <v>45.833333333333336</v>
      </c>
      <c r="O835" s="461">
        <f>CompletedProjects[[#This Row],[Power Plant Size (MW) or Share]]*0.593*9057*211.9*10^(-9)</f>
        <v>5.2161666878750006E-2</v>
      </c>
      <c r="P835" s="337">
        <f>CompletedProjects[[#This Row],[Annual Emissions (MMTCO2)]]*40</f>
        <v>2.0864666751500001</v>
      </c>
      <c r="Q835" s="169"/>
      <c r="R835" s="178" t="s">
        <v>537</v>
      </c>
      <c r="S835" s="181"/>
      <c r="T835" s="178"/>
      <c r="U835" s="2"/>
      <c r="V835" s="2"/>
      <c r="Y835" s="2"/>
    </row>
    <row r="836" spans="1:25" ht="100.35">
      <c r="A836" s="167" t="s">
        <v>78</v>
      </c>
      <c r="B836" s="167" t="s">
        <v>513</v>
      </c>
      <c r="C836" s="167" t="s">
        <v>464</v>
      </c>
      <c r="D836" s="172">
        <f>379060000*'Dev Bank Share by Country'!$C$113</f>
        <v>3449446</v>
      </c>
      <c r="E836" s="173" t="s">
        <v>429</v>
      </c>
      <c r="F836" s="173" t="s">
        <v>430</v>
      </c>
      <c r="G836" s="262" t="s">
        <v>779</v>
      </c>
      <c r="H836" s="173" t="s">
        <v>431</v>
      </c>
      <c r="I836" s="180" t="s">
        <v>283</v>
      </c>
      <c r="J836" s="173" t="s">
        <v>26</v>
      </c>
      <c r="K836" s="241">
        <v>40115</v>
      </c>
      <c r="L836" s="173" t="s">
        <v>922</v>
      </c>
      <c r="M836" s="262"/>
      <c r="N836" s="337">
        <f>600/19/2</f>
        <v>15.789473684210526</v>
      </c>
      <c r="O836" s="461">
        <f>CompletedProjects[[#This Row],[Power Plant Size (MW) or Share]]*0.593*9057*211.9*10^(-9)</f>
        <v>1.7969569451052634E-2</v>
      </c>
      <c r="P836" s="337">
        <f>CompletedProjects[[#This Row],[Annual Emissions (MMTCO2)]]*40</f>
        <v>0.71878277804210533</v>
      </c>
      <c r="Q836" s="167"/>
      <c r="R836" s="178" t="s">
        <v>640</v>
      </c>
      <c r="S836" s="167" t="s">
        <v>633</v>
      </c>
      <c r="T836" s="178"/>
      <c r="U836" s="2"/>
      <c r="V836" s="2"/>
      <c r="Y836" s="2"/>
    </row>
    <row r="837" spans="1:25" ht="43">
      <c r="A837" s="181" t="s">
        <v>78</v>
      </c>
      <c r="B837" s="182" t="s">
        <v>559</v>
      </c>
      <c r="C837" s="182" t="s">
        <v>464</v>
      </c>
      <c r="D837" s="172">
        <v>195678.76853227356</v>
      </c>
      <c r="E837" s="173" t="s">
        <v>600</v>
      </c>
      <c r="F837" s="173" t="s">
        <v>601</v>
      </c>
      <c r="G837" s="262" t="s">
        <v>800</v>
      </c>
      <c r="H837" s="173" t="s">
        <v>481</v>
      </c>
      <c r="I837" s="180" t="s">
        <v>283</v>
      </c>
      <c r="J837" s="173" t="s">
        <v>277</v>
      </c>
      <c r="K837" s="240">
        <v>40544</v>
      </c>
      <c r="L837" s="173" t="s">
        <v>909</v>
      </c>
      <c r="M837" s="267"/>
      <c r="N837" s="338">
        <f>600/12</f>
        <v>50</v>
      </c>
      <c r="O837" s="461">
        <f>CompletedProjects[[#This Row],[Power Plant Size (MW) or Share]]*0.593*9057*211.9*10^(-9)</f>
        <v>5.6903636595000001E-2</v>
      </c>
      <c r="P837" s="337">
        <f>CompletedProjects[[#This Row],[Annual Emissions (MMTCO2)]]*40</f>
        <v>2.2761454637999998</v>
      </c>
      <c r="Q837" s="169"/>
      <c r="R837" s="185"/>
      <c r="S837" s="181"/>
      <c r="T837" s="185"/>
      <c r="U837" s="2"/>
      <c r="V837" s="2"/>
      <c r="Y837" s="2"/>
    </row>
    <row r="838" spans="1:25" ht="143.35">
      <c r="A838" s="181" t="s">
        <v>78</v>
      </c>
      <c r="B838" s="182" t="s">
        <v>445</v>
      </c>
      <c r="C838" s="182" t="s">
        <v>464</v>
      </c>
      <c r="D838" s="172">
        <f>450000000*'Dev Bank Share by Country'!$G$113</f>
        <v>5354001.0435692091</v>
      </c>
      <c r="E838" s="183" t="s">
        <v>1395</v>
      </c>
      <c r="F838" s="183" t="s">
        <v>1393</v>
      </c>
      <c r="G838" s="262" t="s">
        <v>1394</v>
      </c>
      <c r="H838" s="183" t="s">
        <v>65</v>
      </c>
      <c r="I838" s="180" t="s">
        <v>283</v>
      </c>
      <c r="J838" s="183" t="s">
        <v>26</v>
      </c>
      <c r="K838" s="242">
        <v>39562</v>
      </c>
      <c r="L838" s="173" t="s">
        <v>919</v>
      </c>
      <c r="M838" s="262" t="s">
        <v>768</v>
      </c>
      <c r="N838" s="338">
        <f>4000/3/20</f>
        <v>66.666666666666657</v>
      </c>
      <c r="O838" s="461">
        <f>CompletedProjects[[#This Row],[Power Plant Size (MW) or Share]]*0.593*9057*211.9*10^(-9)</f>
        <v>7.5871515459999983E-2</v>
      </c>
      <c r="P838" s="337">
        <f>CompletedProjects[[#This Row],[Annual Emissions (MMTCO2)]]*40</f>
        <v>3.0348606183999993</v>
      </c>
      <c r="Q838" s="176"/>
      <c r="R838" s="178"/>
      <c r="S838" s="167"/>
      <c r="T838" s="178"/>
      <c r="U838" s="2"/>
      <c r="V838" s="2"/>
      <c r="Y838" s="2"/>
    </row>
    <row r="839" spans="1:25" ht="57.35">
      <c r="A839" s="167" t="s">
        <v>78</v>
      </c>
      <c r="B839" s="182" t="s">
        <v>511</v>
      </c>
      <c r="C839" s="182" t="s">
        <v>464</v>
      </c>
      <c r="D839" s="172">
        <f>18000000*'Dev Bank Share by Country'!$G$113</f>
        <v>214160.04174276837</v>
      </c>
      <c r="E839" s="173" t="s">
        <v>407</v>
      </c>
      <c r="F839" s="173" t="s">
        <v>407</v>
      </c>
      <c r="G839" s="262" t="s">
        <v>776</v>
      </c>
      <c r="H839" s="173" t="s">
        <v>408</v>
      </c>
      <c r="I839" s="180" t="s">
        <v>283</v>
      </c>
      <c r="J839" s="173" t="s">
        <v>409</v>
      </c>
      <c r="K839" s="241">
        <v>39254</v>
      </c>
      <c r="L839" s="173" t="s">
        <v>816</v>
      </c>
      <c r="M839" s="262"/>
      <c r="N839" s="256">
        <f>60/19</f>
        <v>3.1578947368421053</v>
      </c>
      <c r="O839" s="461">
        <f>CompletedProjects[[#This Row],[Power Plant Size (MW) or Share]]*0.593*9057*211.9*10^(-9)</f>
        <v>3.5939138902105262E-3</v>
      </c>
      <c r="P839" s="337">
        <f>CompletedProjects[[#This Row],[Annual Emissions (MMTCO2)]]*40</f>
        <v>0.14375655560842104</v>
      </c>
      <c r="Q839" s="167"/>
      <c r="R839" s="167" t="s">
        <v>636</v>
      </c>
      <c r="S839" s="167" t="s">
        <v>633</v>
      </c>
      <c r="T839" s="167"/>
      <c r="U839" s="2"/>
      <c r="V839" s="2"/>
      <c r="Y839" s="2"/>
    </row>
    <row r="840" spans="1:25" ht="86">
      <c r="A840" s="167" t="s">
        <v>78</v>
      </c>
      <c r="B840" s="167" t="s">
        <v>401</v>
      </c>
      <c r="C840" s="182" t="s">
        <v>464</v>
      </c>
      <c r="D840" s="172">
        <f>7500000*'Dev Bank Share by Country'!$E$113</f>
        <v>42554.189605308362</v>
      </c>
      <c r="E840" s="173" t="s">
        <v>456</v>
      </c>
      <c r="F840" s="173" t="s">
        <v>457</v>
      </c>
      <c r="G840" s="262" t="s">
        <v>794</v>
      </c>
      <c r="H840" s="173" t="s">
        <v>458</v>
      </c>
      <c r="I840" s="180" t="s">
        <v>283</v>
      </c>
      <c r="J840" s="173" t="s">
        <v>26</v>
      </c>
      <c r="K840" s="241">
        <v>41627</v>
      </c>
      <c r="L840" s="173" t="s">
        <v>899</v>
      </c>
      <c r="M840" s="262"/>
      <c r="N840" s="256">
        <f>125/19</f>
        <v>6.5789473684210522</v>
      </c>
      <c r="O840" s="461">
        <f>CompletedProjects[[#This Row],[Power Plant Size (MW) or Share]]*0.593*9057*211.9*10^(-9)</f>
        <v>7.487320604605263E-3</v>
      </c>
      <c r="P840" s="337">
        <f>CompletedProjects[[#This Row],[Annual Emissions (MMTCO2)]]*40</f>
        <v>0.29949282418421053</v>
      </c>
      <c r="Q840" s="167"/>
      <c r="R840" s="167" t="s">
        <v>637</v>
      </c>
      <c r="S840" s="167" t="s">
        <v>633</v>
      </c>
      <c r="T840" s="167" t="s">
        <v>537</v>
      </c>
      <c r="U840" s="2"/>
      <c r="V840" s="2"/>
      <c r="Y840" s="2"/>
    </row>
    <row r="841" spans="1:25" ht="100.35">
      <c r="A841" s="167" t="s">
        <v>78</v>
      </c>
      <c r="B841" s="182" t="s">
        <v>511</v>
      </c>
      <c r="C841" s="182" t="s">
        <v>464</v>
      </c>
      <c r="D841" s="172">
        <f>146970000*'Dev Bank Share by Country'!$G$113</f>
        <v>1748616.7408297036</v>
      </c>
      <c r="E841" s="173" t="s">
        <v>459</v>
      </c>
      <c r="F841" s="173" t="s">
        <v>460</v>
      </c>
      <c r="G841" s="262" t="s">
        <v>784</v>
      </c>
      <c r="H841" s="173" t="s">
        <v>239</v>
      </c>
      <c r="I841" s="180" t="s">
        <v>283</v>
      </c>
      <c r="J841" s="173" t="s">
        <v>26</v>
      </c>
      <c r="K841" s="241">
        <v>41701</v>
      </c>
      <c r="L841" s="173" t="s">
        <v>900</v>
      </c>
      <c r="M841" s="262"/>
      <c r="N841" s="256"/>
      <c r="O841" s="461">
        <f>CompletedProjects[[#This Row],[Power Plant Size (MW) or Share]]*0.593*9057*211.9*10^(-9)</f>
        <v>0</v>
      </c>
      <c r="P841" s="337">
        <f>CompletedProjects[[#This Row],[Annual Emissions (MMTCO2)]]*40</f>
        <v>0</v>
      </c>
      <c r="Q841" s="167"/>
      <c r="R841" s="167" t="s">
        <v>400</v>
      </c>
      <c r="S841" s="167" t="s">
        <v>465</v>
      </c>
      <c r="T841" s="167"/>
      <c r="U841" s="22"/>
      <c r="V841" s="2"/>
      <c r="X841" s="30"/>
      <c r="Y841" s="2"/>
    </row>
    <row r="842" spans="1:25" ht="43">
      <c r="A842" s="181" t="s">
        <v>78</v>
      </c>
      <c r="B842" s="182" t="s">
        <v>559</v>
      </c>
      <c r="C842" s="182" t="s">
        <v>464</v>
      </c>
      <c r="D842" s="172">
        <v>124715.63559059278</v>
      </c>
      <c r="E842" s="173" t="s">
        <v>595</v>
      </c>
      <c r="F842" s="173" t="s">
        <v>594</v>
      </c>
      <c r="G842" s="262" t="s">
        <v>796</v>
      </c>
      <c r="H842" s="173" t="s">
        <v>45</v>
      </c>
      <c r="I842" s="180" t="s">
        <v>283</v>
      </c>
      <c r="J842" s="173" t="s">
        <v>277</v>
      </c>
      <c r="K842" s="240">
        <v>40032</v>
      </c>
      <c r="L842" s="173"/>
      <c r="M842" s="262"/>
      <c r="N842" s="338">
        <f>185/12</f>
        <v>15.416666666666666</v>
      </c>
      <c r="O842" s="461">
        <f>CompletedProjects[[#This Row],[Power Plant Size (MW) or Share]]*0.593*9057*211.9*10^(-9)</f>
        <v>1.7545287950124999E-2</v>
      </c>
      <c r="P842" s="337">
        <f>CompletedProjects[[#This Row],[Annual Emissions (MMTCO2)]]*40</f>
        <v>0.70181151800499997</v>
      </c>
      <c r="Q842" s="169"/>
      <c r="R842" s="185"/>
      <c r="S842" s="181"/>
      <c r="T842" s="185"/>
      <c r="U842" s="2"/>
      <c r="V842" s="2"/>
      <c r="Y842" s="2"/>
    </row>
    <row r="843" spans="1:25" ht="172">
      <c r="A843" s="167" t="s">
        <v>78</v>
      </c>
      <c r="B843" s="167" t="s">
        <v>401</v>
      </c>
      <c r="C843" s="171" t="s">
        <v>464</v>
      </c>
      <c r="D843" s="172">
        <f>21000000*'Dev Bank Share by Country'!$E$113</f>
        <v>119151.73089486342</v>
      </c>
      <c r="E843" s="173" t="s">
        <v>451</v>
      </c>
      <c r="F843" s="173" t="s">
        <v>452</v>
      </c>
      <c r="G843" s="262" t="s">
        <v>793</v>
      </c>
      <c r="H843" s="173" t="s">
        <v>453</v>
      </c>
      <c r="I843" s="173" t="s">
        <v>284</v>
      </c>
      <c r="J843" s="173" t="s">
        <v>1498</v>
      </c>
      <c r="K843" s="241">
        <v>41471</v>
      </c>
      <c r="L843" s="173" t="s">
        <v>926</v>
      </c>
      <c r="M843" s="262" t="s">
        <v>898</v>
      </c>
      <c r="N843" s="256"/>
      <c r="O843" s="461">
        <f>CompletedProjects[[#This Row],[Power Plant Size (MW) or Share]]*0.593*9057*211.9*10^(-9)</f>
        <v>0</v>
      </c>
      <c r="P843" s="337">
        <f>CompletedProjects[[#This Row],[Annual Emissions (MMTCO2)]]*40</f>
        <v>0</v>
      </c>
      <c r="Q843" s="167"/>
      <c r="R843" s="167" t="s">
        <v>400</v>
      </c>
      <c r="S843" s="167" t="s">
        <v>633</v>
      </c>
      <c r="T843" s="167" t="s">
        <v>537</v>
      </c>
      <c r="U843" s="2"/>
      <c r="V843" s="2"/>
      <c r="Y843" s="2"/>
    </row>
    <row r="844" spans="1:25" ht="172">
      <c r="A844" s="167" t="s">
        <v>78</v>
      </c>
      <c r="B844" s="167" t="s">
        <v>401</v>
      </c>
      <c r="C844" s="171" t="s">
        <v>464</v>
      </c>
      <c r="D844" s="172">
        <f>12100000*'Dev Bank Share by Country'!$E$113</f>
        <v>68654.092563230821</v>
      </c>
      <c r="E844" s="173" t="s">
        <v>451</v>
      </c>
      <c r="F844" s="173" t="s">
        <v>452</v>
      </c>
      <c r="G844" s="262" t="s">
        <v>793</v>
      </c>
      <c r="H844" s="173" t="s">
        <v>453</v>
      </c>
      <c r="I844" s="173" t="s">
        <v>284</v>
      </c>
      <c r="J844" s="173" t="s">
        <v>1498</v>
      </c>
      <c r="K844" s="241">
        <v>41471</v>
      </c>
      <c r="L844" s="173" t="s">
        <v>926</v>
      </c>
      <c r="M844" s="262" t="s">
        <v>898</v>
      </c>
      <c r="N844" s="256"/>
      <c r="O844" s="461">
        <f>CompletedProjects[[#This Row],[Power Plant Size (MW) or Share]]*0.593*9057*211.9*10^(-9)</f>
        <v>0</v>
      </c>
      <c r="P844" s="337">
        <f>CompletedProjects[[#This Row],[Annual Emissions (MMTCO2)]]*40</f>
        <v>0</v>
      </c>
      <c r="Q844" s="167"/>
      <c r="R844" s="167" t="s">
        <v>400</v>
      </c>
      <c r="S844" s="167" t="s">
        <v>633</v>
      </c>
      <c r="T844" s="167" t="s">
        <v>537</v>
      </c>
      <c r="U844" s="2"/>
      <c r="V844" s="2"/>
      <c r="Y844" s="2"/>
    </row>
    <row r="845" spans="1:25" ht="215">
      <c r="A845" s="167" t="s">
        <v>78</v>
      </c>
      <c r="B845" s="182" t="s">
        <v>511</v>
      </c>
      <c r="C845" s="182" t="s">
        <v>464</v>
      </c>
      <c r="D845" s="172">
        <f>28000000*'Dev Bank Share by Country'!$G$113</f>
        <v>333137.842710973</v>
      </c>
      <c r="E845" s="173" t="s">
        <v>446</v>
      </c>
      <c r="F845" s="173" t="s">
        <v>447</v>
      </c>
      <c r="G845" s="262" t="s">
        <v>782</v>
      </c>
      <c r="H845" s="173" t="s">
        <v>201</v>
      </c>
      <c r="I845" s="173" t="s">
        <v>284</v>
      </c>
      <c r="J845" s="173" t="s">
        <v>1498</v>
      </c>
      <c r="K845" s="241">
        <v>41333</v>
      </c>
      <c r="L845" s="173" t="s">
        <v>832</v>
      </c>
      <c r="M845" s="262"/>
      <c r="N845" s="256">
        <f>750/19</f>
        <v>39.473684210526315</v>
      </c>
      <c r="O845" s="461">
        <f>CompletedProjects[[#This Row],[Power Plant Size (MW) or Share]]*0.593*9057*211.9*10^(-9)</f>
        <v>4.4923923627631576E-2</v>
      </c>
      <c r="P845" s="337">
        <f>CompletedProjects[[#This Row],[Annual Emissions (MMTCO2)]]*40</f>
        <v>1.7969569451052632</v>
      </c>
      <c r="Q845" s="167"/>
      <c r="R845" s="167" t="s">
        <v>639</v>
      </c>
      <c r="S845" s="167"/>
      <c r="T845" s="167"/>
      <c r="U845" s="2"/>
      <c r="V845" s="2"/>
      <c r="Y845" s="2"/>
    </row>
    <row r="846" spans="1:25" ht="86">
      <c r="A846" s="167" t="s">
        <v>78</v>
      </c>
      <c r="B846" s="171" t="s">
        <v>511</v>
      </c>
      <c r="C846" s="171" t="s">
        <v>464</v>
      </c>
      <c r="D846" s="172">
        <f>45500000*'Dev Bank Share by Country'!$G$113</f>
        <v>541348.99440533121</v>
      </c>
      <c r="E846" s="173" t="s">
        <v>440</v>
      </c>
      <c r="F846" s="173" t="s">
        <v>441</v>
      </c>
      <c r="G846" s="262" t="s">
        <v>771</v>
      </c>
      <c r="H846" s="173" t="s">
        <v>442</v>
      </c>
      <c r="I846" s="173" t="s">
        <v>40</v>
      </c>
      <c r="J846" s="173" t="s">
        <v>443</v>
      </c>
      <c r="K846" s="241">
        <v>41060</v>
      </c>
      <c r="L846" s="173" t="s">
        <v>924</v>
      </c>
      <c r="M846" s="273"/>
      <c r="N846" s="256"/>
      <c r="O846" s="461">
        <f>CompletedProjects[[#This Row],[Power Plant Size (MW) or Share]]*0.593*9057*211.9*10^(-9)</f>
        <v>0</v>
      </c>
      <c r="P846" s="337">
        <f>CompletedProjects[[#This Row],[Annual Emissions (MMTCO2)]]*40</f>
        <v>0</v>
      </c>
      <c r="Q846" s="167"/>
      <c r="R846" s="167" t="s">
        <v>400</v>
      </c>
      <c r="S846" s="167" t="s">
        <v>465</v>
      </c>
      <c r="T846" s="167"/>
      <c r="U846" s="2"/>
      <c r="V846" s="2"/>
      <c r="Y846" s="2"/>
    </row>
    <row r="847" spans="1:25" ht="215">
      <c r="A847" s="167" t="s">
        <v>78</v>
      </c>
      <c r="B847" s="167" t="s">
        <v>401</v>
      </c>
      <c r="C847" s="182" t="s">
        <v>464</v>
      </c>
      <c r="D847" s="172">
        <f>200000000*'Dev Bank Share by Country'!$E$113</f>
        <v>1134778.3894748897</v>
      </c>
      <c r="E847" s="173" t="s">
        <v>461</v>
      </c>
      <c r="F847" s="173" t="s">
        <v>462</v>
      </c>
      <c r="G847" s="262" t="s">
        <v>795</v>
      </c>
      <c r="H847" s="173" t="s">
        <v>442</v>
      </c>
      <c r="I847" s="173" t="s">
        <v>284</v>
      </c>
      <c r="J847" s="173" t="s">
        <v>1498</v>
      </c>
      <c r="K847" s="241">
        <v>41760</v>
      </c>
      <c r="L847" s="173" t="s">
        <v>831</v>
      </c>
      <c r="M847" s="262" t="s">
        <v>830</v>
      </c>
      <c r="N847" s="256"/>
      <c r="O847" s="461">
        <f>CompletedProjects[[#This Row],[Power Plant Size (MW) or Share]]*0.593*9057*211.9*10^(-9)</f>
        <v>0</v>
      </c>
      <c r="P847" s="337">
        <f>CompletedProjects[[#This Row],[Annual Emissions (MMTCO2)]]*40</f>
        <v>0</v>
      </c>
      <c r="Q847" s="167"/>
      <c r="R847" s="167" t="s">
        <v>400</v>
      </c>
      <c r="S847" s="167" t="s">
        <v>465</v>
      </c>
      <c r="T847" s="167"/>
      <c r="U847" s="22"/>
      <c r="V847" s="2"/>
      <c r="X847" s="30"/>
      <c r="Y847" s="2"/>
    </row>
    <row r="848" spans="1:25" ht="114.7">
      <c r="A848" s="167" t="s">
        <v>78</v>
      </c>
      <c r="B848" s="167" t="s">
        <v>401</v>
      </c>
      <c r="C848" s="171" t="s">
        <v>464</v>
      </c>
      <c r="D848" s="172">
        <f>280000*'Dev Bank Share by Country'!$E$113</f>
        <v>1588.6897452648454</v>
      </c>
      <c r="E848" s="173" t="s">
        <v>437</v>
      </c>
      <c r="F848" s="173" t="s">
        <v>438</v>
      </c>
      <c r="G848" s="262" t="s">
        <v>790</v>
      </c>
      <c r="H848" s="173" t="s">
        <v>439</v>
      </c>
      <c r="I848" s="173" t="s">
        <v>284</v>
      </c>
      <c r="J848" s="173" t="s">
        <v>1498</v>
      </c>
      <c r="K848" s="241">
        <v>41039</v>
      </c>
      <c r="L848" s="173" t="s">
        <v>897</v>
      </c>
      <c r="M848" s="273" t="s">
        <v>780</v>
      </c>
      <c r="N848" s="256"/>
      <c r="O848" s="461">
        <f>CompletedProjects[[#This Row],[Power Plant Size (MW) or Share]]*0.593*9057*211.9*10^(-9)</f>
        <v>0</v>
      </c>
      <c r="P848" s="337">
        <f>CompletedProjects[[#This Row],[Annual Emissions (MMTCO2)]]*40</f>
        <v>0</v>
      </c>
      <c r="Q848" s="167"/>
      <c r="R848" s="167" t="s">
        <v>400</v>
      </c>
      <c r="S848" s="167" t="s">
        <v>465</v>
      </c>
      <c r="T848" s="167"/>
      <c r="U848" s="2"/>
      <c r="V848" s="2"/>
      <c r="Y848" s="2"/>
    </row>
    <row r="849" spans="1:25" ht="43">
      <c r="A849" s="167" t="s">
        <v>78</v>
      </c>
      <c r="B849" s="171" t="s">
        <v>559</v>
      </c>
      <c r="C849" s="171" t="s">
        <v>464</v>
      </c>
      <c r="D849" s="172">
        <v>51195.026650885527</v>
      </c>
      <c r="E849" s="173" t="s">
        <v>608</v>
      </c>
      <c r="F849" s="173" t="s">
        <v>609</v>
      </c>
      <c r="G849" s="262" t="s">
        <v>803</v>
      </c>
      <c r="H849" s="173" t="s">
        <v>368</v>
      </c>
      <c r="I849" s="180" t="s">
        <v>284</v>
      </c>
      <c r="J849" s="180" t="s">
        <v>284</v>
      </c>
      <c r="K849" s="240">
        <v>40869</v>
      </c>
      <c r="L849" s="173" t="s">
        <v>1694</v>
      </c>
      <c r="M849" s="262"/>
      <c r="N849" s="337"/>
      <c r="O849" s="461">
        <f>CompletedProjects[[#This Row],[Power Plant Size (MW) or Share]]*0.593*9057*211.9*10^(-9)</f>
        <v>0</v>
      </c>
      <c r="P849" s="337">
        <f>CompletedProjects[[#This Row],[Annual Emissions (MMTCO2)]]*40</f>
        <v>0</v>
      </c>
      <c r="Q849" s="176"/>
      <c r="R849" s="178"/>
      <c r="S849" s="167"/>
      <c r="T849" s="178"/>
      <c r="U849" s="2"/>
      <c r="V849" s="2"/>
      <c r="Y849" s="2"/>
    </row>
    <row r="850" spans="1:25" ht="57.35">
      <c r="A850" s="167" t="s">
        <v>78</v>
      </c>
      <c r="B850" s="182" t="s">
        <v>559</v>
      </c>
      <c r="C850" s="182" t="s">
        <v>464</v>
      </c>
      <c r="D850" s="172">
        <v>43079.666870671084</v>
      </c>
      <c r="E850" s="173" t="s">
        <v>596</v>
      </c>
      <c r="F850" s="173" t="s">
        <v>597</v>
      </c>
      <c r="G850" s="262" t="s">
        <v>797</v>
      </c>
      <c r="H850" s="173" t="s">
        <v>493</v>
      </c>
      <c r="I850" s="180" t="s">
        <v>283</v>
      </c>
      <c r="J850" s="173" t="s">
        <v>277</v>
      </c>
      <c r="K850" s="240">
        <v>40052</v>
      </c>
      <c r="L850" s="269" t="s">
        <v>1690</v>
      </c>
      <c r="M850" s="262" t="s">
        <v>903</v>
      </c>
      <c r="N850" s="337"/>
      <c r="O850" s="461">
        <f>CompletedProjects[[#This Row],[Power Plant Size (MW) or Share]]*0.593*9057*211.9*10^(-9)</f>
        <v>0</v>
      </c>
      <c r="P850" s="337">
        <f>CompletedProjects[[#This Row],[Annual Emissions (MMTCO2)]]*40</f>
        <v>0</v>
      </c>
      <c r="Q850" s="176"/>
      <c r="R850" s="178"/>
      <c r="S850" s="167"/>
      <c r="T850" s="178"/>
      <c r="U850" s="2"/>
      <c r="V850" s="2"/>
      <c r="Y850" s="2"/>
    </row>
    <row r="851" spans="1:25" ht="172">
      <c r="A851" s="167" t="s">
        <v>78</v>
      </c>
      <c r="B851" s="167" t="s">
        <v>513</v>
      </c>
      <c r="C851" s="167" t="s">
        <v>464</v>
      </c>
      <c r="D851" s="172">
        <f>57000000*'Dev Bank Share by Country'!$C$113</f>
        <v>518700</v>
      </c>
      <c r="E851" s="173" t="s">
        <v>415</v>
      </c>
      <c r="F851" s="173" t="s">
        <v>416</v>
      </c>
      <c r="G851" s="262" t="s">
        <v>772</v>
      </c>
      <c r="H851" s="173" t="s">
        <v>368</v>
      </c>
      <c r="I851" s="173" t="s">
        <v>40</v>
      </c>
      <c r="J851" s="173" t="s">
        <v>417</v>
      </c>
      <c r="K851" s="241">
        <v>39436</v>
      </c>
      <c r="L851" s="173" t="s">
        <v>918</v>
      </c>
      <c r="M851" s="273" t="s">
        <v>895</v>
      </c>
      <c r="N851" s="256"/>
      <c r="O851" s="461">
        <f>CompletedProjects[[#This Row],[Power Plant Size (MW) or Share]]*0.593*9057*211.9*10^(-9)</f>
        <v>0</v>
      </c>
      <c r="P851" s="337">
        <f>CompletedProjects[[#This Row],[Annual Emissions (MMTCO2)]]*40</f>
        <v>0</v>
      </c>
      <c r="Q851" s="167"/>
      <c r="R851" s="167" t="s">
        <v>400</v>
      </c>
      <c r="S851" s="167" t="s">
        <v>633</v>
      </c>
      <c r="T851" s="167"/>
      <c r="U851" s="2"/>
      <c r="V851" s="2"/>
      <c r="Y851" s="2"/>
    </row>
    <row r="852" spans="1:25" ht="172">
      <c r="A852" s="167" t="s">
        <v>45</v>
      </c>
      <c r="B852" s="171" t="s">
        <v>511</v>
      </c>
      <c r="C852" s="171" t="s">
        <v>464</v>
      </c>
      <c r="D852" s="172">
        <f>500000000*'Dev Bank Share by Country'!$G$141</f>
        <v>20039996.991652615</v>
      </c>
      <c r="E852" s="183" t="s">
        <v>454</v>
      </c>
      <c r="F852" s="183" t="s">
        <v>514</v>
      </c>
      <c r="G852" s="262" t="s">
        <v>783</v>
      </c>
      <c r="H852" s="183" t="s">
        <v>515</v>
      </c>
      <c r="I852" s="180" t="s">
        <v>283</v>
      </c>
      <c r="J852" s="183" t="s">
        <v>26</v>
      </c>
      <c r="K852" s="242">
        <v>41760</v>
      </c>
      <c r="L852" s="183" t="s">
        <v>833</v>
      </c>
      <c r="M852" s="262"/>
      <c r="N852" s="337">
        <f>(270+450)/19</f>
        <v>37.89473684210526</v>
      </c>
      <c r="O852" s="461">
        <f>CompletedProjects[[#This Row],[Power Plant Size (MW) or Share]]*0.593*9057*211.9*10^(-9)</f>
        <v>4.3126966682526316E-2</v>
      </c>
      <c r="P852" s="337">
        <f>CompletedProjects[[#This Row],[Annual Emissions (MMTCO2)]]*40</f>
        <v>1.7250786673010525</v>
      </c>
      <c r="Q852" s="176"/>
      <c r="R852" s="178" t="s">
        <v>639</v>
      </c>
      <c r="S852" s="167" t="s">
        <v>465</v>
      </c>
      <c r="T852" s="178"/>
      <c r="U852" s="2"/>
      <c r="V852" s="2"/>
      <c r="Y852" s="2"/>
    </row>
    <row r="853" spans="1:25" ht="172">
      <c r="A853" s="167" t="s">
        <v>45</v>
      </c>
      <c r="B853" s="167" t="s">
        <v>401</v>
      </c>
      <c r="C853" s="171" t="s">
        <v>464</v>
      </c>
      <c r="D853" s="172">
        <f>1120000*'Dev Bank Share by Country'!$E$141</f>
        <v>3703.5919211303649</v>
      </c>
      <c r="E853" s="173" t="s">
        <v>402</v>
      </c>
      <c r="F853" s="173" t="s">
        <v>403</v>
      </c>
      <c r="G853" s="262" t="s">
        <v>785</v>
      </c>
      <c r="H853" s="173" t="s">
        <v>404</v>
      </c>
      <c r="I853" s="173" t="s">
        <v>284</v>
      </c>
      <c r="J853" s="173" t="s">
        <v>1498</v>
      </c>
      <c r="K853" s="241">
        <v>39224</v>
      </c>
      <c r="L853" s="173" t="s">
        <v>826</v>
      </c>
      <c r="M853" s="262" t="s">
        <v>785</v>
      </c>
      <c r="N853" s="256"/>
      <c r="O853" s="461">
        <f>CompletedProjects[[#This Row],[Power Plant Size (MW) or Share]]*0.593*9057*211.9*10^(-9)</f>
        <v>0</v>
      </c>
      <c r="P853" s="337">
        <f>CompletedProjects[[#This Row],[Annual Emissions (MMTCO2)]]*40</f>
        <v>0</v>
      </c>
      <c r="Q853" s="167"/>
      <c r="R853" s="167" t="s">
        <v>400</v>
      </c>
      <c r="S853" s="167" t="s">
        <v>633</v>
      </c>
      <c r="T853" s="167" t="s">
        <v>537</v>
      </c>
      <c r="U853" s="2"/>
      <c r="V853" s="2"/>
      <c r="Y853" s="2"/>
    </row>
    <row r="854" spans="1:25" ht="172">
      <c r="A854" s="167" t="s">
        <v>45</v>
      </c>
      <c r="B854" s="167" t="s">
        <v>401</v>
      </c>
      <c r="C854" s="171" t="s">
        <v>464</v>
      </c>
      <c r="D854" s="172">
        <f>4200000*'Dev Bank Share by Country'!$E$141</f>
        <v>13888.469704238869</v>
      </c>
      <c r="E854" s="173" t="s">
        <v>448</v>
      </c>
      <c r="F854" s="173" t="s">
        <v>449</v>
      </c>
      <c r="G854" s="262" t="s">
        <v>792</v>
      </c>
      <c r="H854" s="173" t="s">
        <v>450</v>
      </c>
      <c r="I854" s="173" t="s">
        <v>40</v>
      </c>
      <c r="J854" s="173" t="s">
        <v>1502</v>
      </c>
      <c r="K854" s="241">
        <v>41404</v>
      </c>
      <c r="L854" s="173" t="s">
        <v>925</v>
      </c>
      <c r="M854" s="262"/>
      <c r="N854" s="256"/>
      <c r="O854" s="461">
        <f>CompletedProjects[[#This Row],[Power Plant Size (MW) or Share]]*0.593*9057*211.9*10^(-9)</f>
        <v>0</v>
      </c>
      <c r="P854" s="337">
        <f>CompletedProjects[[#This Row],[Annual Emissions (MMTCO2)]]*40</f>
        <v>0</v>
      </c>
      <c r="Q854" s="167"/>
      <c r="R854" s="167" t="s">
        <v>400</v>
      </c>
      <c r="S854" s="167" t="s">
        <v>465</v>
      </c>
      <c r="T854" s="167"/>
      <c r="U854" s="2"/>
      <c r="V854" s="2"/>
      <c r="Y854" s="2"/>
    </row>
    <row r="855" spans="1:25" ht="100.35">
      <c r="A855" s="167" t="s">
        <v>45</v>
      </c>
      <c r="B855" s="167" t="s">
        <v>511</v>
      </c>
      <c r="C855" s="167" t="s">
        <v>464</v>
      </c>
      <c r="D855" s="172">
        <f>25000000*'Dev Bank Share by Country'!$G$141</f>
        <v>1001999.8495826308</v>
      </c>
      <c r="E855" s="173" t="s">
        <v>398</v>
      </c>
      <c r="F855" s="173" t="s">
        <v>398</v>
      </c>
      <c r="G855" s="262" t="s">
        <v>787</v>
      </c>
      <c r="H855" s="173" t="s">
        <v>399</v>
      </c>
      <c r="I855" s="180" t="s">
        <v>283</v>
      </c>
      <c r="J855" s="173" t="s">
        <v>26</v>
      </c>
      <c r="K855" s="241">
        <v>39204</v>
      </c>
      <c r="L855" s="173" t="s">
        <v>915</v>
      </c>
      <c r="M855" s="262"/>
      <c r="N855" s="256">
        <f>30/20</f>
        <v>1.5</v>
      </c>
      <c r="O855" s="461">
        <f>CompletedProjects[[#This Row],[Power Plant Size (MW) or Share]]*0.593*9057*211.9*10^(-9)</f>
        <v>1.7071090978499999E-3</v>
      </c>
      <c r="P855" s="337">
        <f>CompletedProjects[[#This Row],[Annual Emissions (MMTCO2)]]*40</f>
        <v>6.8284363914000001E-2</v>
      </c>
      <c r="Q855" s="176"/>
      <c r="R855" s="167" t="s">
        <v>635</v>
      </c>
      <c r="S855" s="167" t="s">
        <v>465</v>
      </c>
      <c r="T855" s="167"/>
      <c r="U855" s="2"/>
      <c r="V855" s="2"/>
      <c r="Y855" s="2"/>
    </row>
    <row r="856" spans="1:25" ht="57.35">
      <c r="A856" s="167" t="s">
        <v>45</v>
      </c>
      <c r="B856" s="171" t="s">
        <v>559</v>
      </c>
      <c r="C856" s="171" t="s">
        <v>464</v>
      </c>
      <c r="D856" s="172">
        <v>4560334.3803702816</v>
      </c>
      <c r="E856" s="173" t="s">
        <v>592</v>
      </c>
      <c r="F856" s="173" t="s">
        <v>599</v>
      </c>
      <c r="G856" s="262" t="s">
        <v>799</v>
      </c>
      <c r="H856" s="173" t="s">
        <v>201</v>
      </c>
      <c r="I856" s="173" t="s">
        <v>40</v>
      </c>
      <c r="J856" s="173" t="s">
        <v>40</v>
      </c>
      <c r="K856" s="240">
        <v>40310</v>
      </c>
      <c r="L856" s="173" t="s">
        <v>1692</v>
      </c>
      <c r="M856" s="262" t="s">
        <v>908</v>
      </c>
      <c r="N856" s="337"/>
      <c r="O856" s="461">
        <f>CompletedProjects[[#This Row],[Power Plant Size (MW) or Share]]*0.593*9057*211.9*10^(-9)</f>
        <v>0</v>
      </c>
      <c r="P856" s="337">
        <f>CompletedProjects[[#This Row],[Annual Emissions (MMTCO2)]]*40</f>
        <v>0</v>
      </c>
      <c r="Q856" s="176">
        <v>0.3</v>
      </c>
      <c r="R856" s="178"/>
      <c r="S856" s="167"/>
      <c r="T856" s="178"/>
      <c r="U856" s="2"/>
      <c r="V856" s="2"/>
      <c r="Y856" s="2"/>
    </row>
    <row r="857" spans="1:25" ht="86">
      <c r="A857" s="167" t="s">
        <v>45</v>
      </c>
      <c r="B857" s="170" t="s">
        <v>1056</v>
      </c>
      <c r="C857" s="171" t="s">
        <v>337</v>
      </c>
      <c r="D857" s="321">
        <v>20000000</v>
      </c>
      <c r="E857" s="173" t="s">
        <v>1553</v>
      </c>
      <c r="F857" s="173" t="s">
        <v>1554</v>
      </c>
      <c r="G857" s="262" t="s">
        <v>1602</v>
      </c>
      <c r="H857" s="175" t="s">
        <v>201</v>
      </c>
      <c r="I857" s="173" t="s">
        <v>283</v>
      </c>
      <c r="J857" s="170" t="s">
        <v>1534</v>
      </c>
      <c r="K857" s="240">
        <v>42173</v>
      </c>
      <c r="L857" s="173"/>
      <c r="M857" s="262" t="s">
        <v>1555</v>
      </c>
      <c r="N857" s="338"/>
      <c r="O857" s="461">
        <f>CompletedProjects[[#This Row],[Power Plant Size (MW) or Share]]*0.593*9057*211.9*10^(-9)</f>
        <v>0</v>
      </c>
      <c r="P857" s="337">
        <f>CompletedProjects[[#This Row],[Annual Emissions (MMTCO2)]]*40</f>
        <v>0</v>
      </c>
      <c r="Q857" s="169"/>
      <c r="R857" s="185"/>
      <c r="S857" s="258" t="s">
        <v>1563</v>
      </c>
      <c r="T857" s="185"/>
      <c r="U857" s="2"/>
      <c r="V857" s="2"/>
      <c r="Y857" s="2"/>
    </row>
    <row r="858" spans="1:25" ht="114.7">
      <c r="A858" s="167" t="s">
        <v>45</v>
      </c>
      <c r="B858" s="171" t="s">
        <v>559</v>
      </c>
      <c r="C858" s="171" t="s">
        <v>464</v>
      </c>
      <c r="D858" s="172">
        <v>4337413.9609120339</v>
      </c>
      <c r="E858" s="173" t="s">
        <v>606</v>
      </c>
      <c r="F858" s="173" t="s">
        <v>607</v>
      </c>
      <c r="G858" s="262" t="s">
        <v>730</v>
      </c>
      <c r="H858" s="173" t="s">
        <v>56</v>
      </c>
      <c r="I858" s="173" t="s">
        <v>40</v>
      </c>
      <c r="J858" s="173" t="s">
        <v>40</v>
      </c>
      <c r="K858" s="240">
        <v>40750</v>
      </c>
      <c r="L858" s="173" t="s">
        <v>1696</v>
      </c>
      <c r="M858" s="262" t="s">
        <v>912</v>
      </c>
      <c r="N858" s="337"/>
      <c r="O858" s="461">
        <f>CompletedProjects[[#This Row],[Power Plant Size (MW) or Share]]*0.593*9057*211.9*10^(-9)</f>
        <v>0</v>
      </c>
      <c r="P858" s="337">
        <f>CompletedProjects[[#This Row],[Annual Emissions (MMTCO2)]]*40</f>
        <v>0</v>
      </c>
      <c r="Q858" s="176"/>
      <c r="R858" s="178"/>
      <c r="S858" s="167"/>
      <c r="T858" s="178"/>
      <c r="U858" s="2"/>
      <c r="V858" s="2"/>
      <c r="Y858" s="2"/>
    </row>
    <row r="859" spans="1:25" ht="114.7">
      <c r="A859" s="167" t="s">
        <v>45</v>
      </c>
      <c r="B859" s="171" t="s">
        <v>559</v>
      </c>
      <c r="C859" s="171" t="s">
        <v>464</v>
      </c>
      <c r="D859" s="172">
        <v>1084335.426400688</v>
      </c>
      <c r="E859" s="173" t="s">
        <v>606</v>
      </c>
      <c r="F859" s="173" t="s">
        <v>607</v>
      </c>
      <c r="G859" s="262" t="s">
        <v>730</v>
      </c>
      <c r="H859" s="173" t="s">
        <v>56</v>
      </c>
      <c r="I859" s="173" t="s">
        <v>40</v>
      </c>
      <c r="J859" s="173" t="s">
        <v>40</v>
      </c>
      <c r="K859" s="240">
        <v>40750</v>
      </c>
      <c r="L859" s="173" t="s">
        <v>1696</v>
      </c>
      <c r="M859" s="262" t="s">
        <v>912</v>
      </c>
      <c r="N859" s="337"/>
      <c r="O859" s="461">
        <f>CompletedProjects[[#This Row],[Power Plant Size (MW) or Share]]*0.593*9057*211.9*10^(-9)</f>
        <v>0</v>
      </c>
      <c r="P859" s="337">
        <f>CompletedProjects[[#This Row],[Annual Emissions (MMTCO2)]]*40</f>
        <v>0</v>
      </c>
      <c r="Q859" s="176"/>
      <c r="R859" s="178"/>
      <c r="S859" s="167"/>
      <c r="T859" s="178"/>
      <c r="U859" s="2"/>
      <c r="V859" s="2"/>
      <c r="Y859" s="2"/>
    </row>
    <row r="860" spans="1:25" ht="100.35">
      <c r="A860" s="167" t="s">
        <v>45</v>
      </c>
      <c r="B860" s="171" t="s">
        <v>511</v>
      </c>
      <c r="C860" s="171" t="s">
        <v>464</v>
      </c>
      <c r="D860" s="172">
        <f>46500000*'Dev Bank Share by Country'!$G$141</f>
        <v>1863719.7202236932</v>
      </c>
      <c r="E860" s="173" t="s">
        <v>423</v>
      </c>
      <c r="F860" s="173" t="s">
        <v>424</v>
      </c>
      <c r="G860" s="262" t="s">
        <v>774</v>
      </c>
      <c r="H860" s="173" t="s">
        <v>65</v>
      </c>
      <c r="I860" s="173" t="s">
        <v>284</v>
      </c>
      <c r="J860" s="173" t="s">
        <v>79</v>
      </c>
      <c r="K860" s="241">
        <v>39898</v>
      </c>
      <c r="L860" s="173" t="s">
        <v>920</v>
      </c>
      <c r="M860" s="273"/>
      <c r="N860" s="256"/>
      <c r="O860" s="461">
        <f>CompletedProjects[[#This Row],[Power Plant Size (MW) or Share]]*0.593*9057*211.9*10^(-9)</f>
        <v>0</v>
      </c>
      <c r="P860" s="337">
        <f>CompletedProjects[[#This Row],[Annual Emissions (MMTCO2)]]*40</f>
        <v>0</v>
      </c>
      <c r="Q860" s="167"/>
      <c r="R860" s="167" t="s">
        <v>400</v>
      </c>
      <c r="S860" s="167" t="s">
        <v>465</v>
      </c>
      <c r="T860" s="167"/>
      <c r="U860" s="2"/>
      <c r="V860" s="2"/>
      <c r="Y860" s="2"/>
    </row>
    <row r="861" spans="1:25" ht="272.35000000000002">
      <c r="A861" s="167" t="s">
        <v>45</v>
      </c>
      <c r="B861" s="167" t="s">
        <v>513</v>
      </c>
      <c r="C861" s="171" t="s">
        <v>464</v>
      </c>
      <c r="D861" s="172">
        <f>29600000*'Dev Bank Share by Country'!$C$141</f>
        <v>882080</v>
      </c>
      <c r="E861" s="173" t="s">
        <v>266</v>
      </c>
      <c r="F861" s="173" t="s">
        <v>444</v>
      </c>
      <c r="G861" s="262" t="s">
        <v>781</v>
      </c>
      <c r="H861" s="173" t="s">
        <v>85</v>
      </c>
      <c r="I861" s="173" t="s">
        <v>284</v>
      </c>
      <c r="J861" s="173" t="s">
        <v>1498</v>
      </c>
      <c r="K861" s="241">
        <v>41163</v>
      </c>
      <c r="L861" s="173" t="s">
        <v>825</v>
      </c>
      <c r="M861" s="262"/>
      <c r="N861" s="256"/>
      <c r="O861" s="461">
        <f>CompletedProjects[[#This Row],[Power Plant Size (MW) or Share]]*0.593*9057*211.9*10^(-9)</f>
        <v>0</v>
      </c>
      <c r="P861" s="337">
        <f>CompletedProjects[[#This Row],[Annual Emissions (MMTCO2)]]*40</f>
        <v>0</v>
      </c>
      <c r="Q861" s="167"/>
      <c r="R861" s="167" t="s">
        <v>400</v>
      </c>
      <c r="S861" s="167" t="s">
        <v>465</v>
      </c>
      <c r="T861" s="167"/>
      <c r="U861" s="2"/>
      <c r="V861" s="2"/>
      <c r="Y861" s="2"/>
    </row>
    <row r="862" spans="1:25" ht="43">
      <c r="A862" s="167" t="s">
        <v>45</v>
      </c>
      <c r="B862" s="171" t="s">
        <v>559</v>
      </c>
      <c r="C862" s="171" t="s">
        <v>464</v>
      </c>
      <c r="D862" s="172">
        <v>637932.44127234048</v>
      </c>
      <c r="E862" s="173" t="s">
        <v>598</v>
      </c>
      <c r="F862" s="173" t="s">
        <v>598</v>
      </c>
      <c r="G862" s="262" t="s">
        <v>798</v>
      </c>
      <c r="H862" s="173" t="s">
        <v>201</v>
      </c>
      <c r="I862" s="173" t="s">
        <v>40</v>
      </c>
      <c r="J862" s="173" t="s">
        <v>40</v>
      </c>
      <c r="K862" s="240">
        <v>40199</v>
      </c>
      <c r="L862" s="269" t="s">
        <v>1691</v>
      </c>
      <c r="M862" s="262"/>
      <c r="N862" s="337"/>
      <c r="O862" s="461">
        <f>CompletedProjects[[#This Row],[Power Plant Size (MW) or Share]]*0.593*9057*211.9*10^(-9)</f>
        <v>0</v>
      </c>
      <c r="P862" s="337">
        <f>CompletedProjects[[#This Row],[Annual Emissions (MMTCO2)]]*40</f>
        <v>0</v>
      </c>
      <c r="Q862" s="176"/>
      <c r="R862" s="178"/>
      <c r="S862" s="167"/>
      <c r="T862" s="178"/>
      <c r="U862" s="2"/>
      <c r="V862" s="2"/>
      <c r="Y862" s="2"/>
    </row>
    <row r="863" spans="1:25" ht="157.69999999999999">
      <c r="A863" s="167" t="s">
        <v>45</v>
      </c>
      <c r="B863" s="167" t="s">
        <v>401</v>
      </c>
      <c r="C863" s="182" t="s">
        <v>464</v>
      </c>
      <c r="D863" s="172">
        <f>2000000*'Dev Bank Share by Country'!$E$141</f>
        <v>6613.5570020185087</v>
      </c>
      <c r="E863" s="173" t="s">
        <v>410</v>
      </c>
      <c r="F863" s="173" t="s">
        <v>411</v>
      </c>
      <c r="G863" s="262" t="s">
        <v>777</v>
      </c>
      <c r="H863" s="173" t="s">
        <v>412</v>
      </c>
      <c r="I863" s="173" t="s">
        <v>284</v>
      </c>
      <c r="J863" s="173" t="s">
        <v>1498</v>
      </c>
      <c r="K863" s="241">
        <v>39261</v>
      </c>
      <c r="L863" s="173" t="s">
        <v>916</v>
      </c>
      <c r="M863" s="262"/>
      <c r="N863" s="256"/>
      <c r="O863" s="461">
        <f>CompletedProjects[[#This Row],[Power Plant Size (MW) or Share]]*0.593*9057*211.9*10^(-9)</f>
        <v>0</v>
      </c>
      <c r="P863" s="337">
        <f>CompletedProjects[[#This Row],[Annual Emissions (MMTCO2)]]*40</f>
        <v>0</v>
      </c>
      <c r="Q863" s="167"/>
      <c r="R863" s="167" t="s">
        <v>400</v>
      </c>
      <c r="S863" s="167" t="s">
        <v>633</v>
      </c>
      <c r="T863" s="167"/>
      <c r="U863" s="2"/>
      <c r="V863" s="2"/>
      <c r="Y863" s="2"/>
    </row>
    <row r="864" spans="1:25" ht="114.7">
      <c r="A864" s="167" t="s">
        <v>45</v>
      </c>
      <c r="B864" s="167" t="s">
        <v>513</v>
      </c>
      <c r="C864" s="182" t="s">
        <v>464</v>
      </c>
      <c r="D864" s="172">
        <f>180000000*'Dev Bank Share by Country'!$C$141</f>
        <v>5364000</v>
      </c>
      <c r="E864" s="173" t="s">
        <v>41</v>
      </c>
      <c r="F864" s="173" t="s">
        <v>432</v>
      </c>
      <c r="G864" s="262" t="s">
        <v>773</v>
      </c>
      <c r="H864" s="173" t="s">
        <v>25</v>
      </c>
      <c r="I864" s="180" t="s">
        <v>283</v>
      </c>
      <c r="J864" s="173" t="s">
        <v>26</v>
      </c>
      <c r="K864" s="241">
        <v>40276</v>
      </c>
      <c r="L864" s="173" t="s">
        <v>923</v>
      </c>
      <c r="M864" s="273"/>
      <c r="N864" s="337">
        <f>4800/19/2</f>
        <v>126.31578947368421</v>
      </c>
      <c r="O864" s="461">
        <f>CompletedProjects[[#This Row],[Power Plant Size (MW) or Share]]*0.593*9057*211.9*10^(-9)</f>
        <v>0.14375655560842107</v>
      </c>
      <c r="P864" s="337">
        <f>CompletedProjects[[#This Row],[Annual Emissions (MMTCO2)]]*40</f>
        <v>5.7502622243368426</v>
      </c>
      <c r="Q864" s="167"/>
      <c r="R864" s="178" t="s">
        <v>643</v>
      </c>
      <c r="S864" s="167" t="s">
        <v>465</v>
      </c>
      <c r="T864" s="178"/>
      <c r="U864" s="2"/>
      <c r="V864" s="2"/>
      <c r="Y864" s="2"/>
    </row>
    <row r="865" spans="1:26" ht="43">
      <c r="A865" s="167" t="s">
        <v>45</v>
      </c>
      <c r="B865" s="171" t="s">
        <v>559</v>
      </c>
      <c r="C865" s="171" t="s">
        <v>464</v>
      </c>
      <c r="D865" s="172">
        <v>751485.29139379947</v>
      </c>
      <c r="E865" s="173" t="s">
        <v>592</v>
      </c>
      <c r="F865" s="173" t="s">
        <v>593</v>
      </c>
      <c r="G865" s="262" t="s">
        <v>795</v>
      </c>
      <c r="H865" s="173" t="s">
        <v>201</v>
      </c>
      <c r="I865" s="173" t="s">
        <v>40</v>
      </c>
      <c r="J865" s="173" t="s">
        <v>40</v>
      </c>
      <c r="K865" s="240">
        <v>39854</v>
      </c>
      <c r="L865" s="183" t="s">
        <v>1689</v>
      </c>
      <c r="M865" s="262"/>
      <c r="N865" s="337"/>
      <c r="O865" s="461">
        <f>CompletedProjects[[#This Row],[Power Plant Size (MW) or Share]]*0.593*9057*211.9*10^(-9)</f>
        <v>0</v>
      </c>
      <c r="P865" s="337">
        <f>CompletedProjects[[#This Row],[Annual Emissions (MMTCO2)]]*40</f>
        <v>0</v>
      </c>
      <c r="Q865" s="176"/>
      <c r="R865" s="173" t="s">
        <v>907</v>
      </c>
      <c r="S865" s="167"/>
      <c r="T865" s="173"/>
      <c r="U865" s="2"/>
      <c r="V865" s="2"/>
      <c r="Y865" s="2"/>
    </row>
    <row r="866" spans="1:26" ht="100.35">
      <c r="A866" s="167" t="s">
        <v>45</v>
      </c>
      <c r="B866" s="167" t="s">
        <v>513</v>
      </c>
      <c r="C866" s="167" t="s">
        <v>464</v>
      </c>
      <c r="D866" s="172">
        <f>379060000*'Dev Bank Share by Country'!$C$141</f>
        <v>11295988</v>
      </c>
      <c r="E866" s="173" t="s">
        <v>429</v>
      </c>
      <c r="F866" s="173" t="s">
        <v>430</v>
      </c>
      <c r="G866" s="262" t="s">
        <v>779</v>
      </c>
      <c r="H866" s="173" t="s">
        <v>431</v>
      </c>
      <c r="I866" s="180" t="s">
        <v>283</v>
      </c>
      <c r="J866" s="173" t="s">
        <v>26</v>
      </c>
      <c r="K866" s="241">
        <v>40115</v>
      </c>
      <c r="L866" s="173" t="s">
        <v>922</v>
      </c>
      <c r="M866" s="262"/>
      <c r="N866" s="337">
        <f>600/19/2</f>
        <v>15.789473684210526</v>
      </c>
      <c r="O866" s="461">
        <f>CompletedProjects[[#This Row],[Power Plant Size (MW) or Share]]*0.593*9057*211.9*10^(-9)</f>
        <v>1.7969569451052634E-2</v>
      </c>
      <c r="P866" s="337">
        <f>CompletedProjects[[#This Row],[Annual Emissions (MMTCO2)]]*40</f>
        <v>0.71878277804210533</v>
      </c>
      <c r="Q866" s="167"/>
      <c r="R866" s="178" t="s">
        <v>640</v>
      </c>
      <c r="S866" s="167" t="s">
        <v>633</v>
      </c>
      <c r="T866" s="178"/>
      <c r="U866" s="2"/>
      <c r="V866" s="2"/>
      <c r="Y866" s="2"/>
    </row>
    <row r="867" spans="1:26" ht="43">
      <c r="A867" s="167" t="s">
        <v>45</v>
      </c>
      <c r="B867" s="171" t="s">
        <v>511</v>
      </c>
      <c r="C867" s="171" t="s">
        <v>464</v>
      </c>
      <c r="D867" s="172">
        <f>740000000*'Dev Bank Share by Country'!$G$141</f>
        <v>29659195.547645871</v>
      </c>
      <c r="E867" s="173" t="s">
        <v>418</v>
      </c>
      <c r="F867" s="173" t="s">
        <v>419</v>
      </c>
      <c r="G867" s="262" t="s">
        <v>765</v>
      </c>
      <c r="H867" s="173" t="s">
        <v>144</v>
      </c>
      <c r="I867" s="180" t="s">
        <v>283</v>
      </c>
      <c r="J867" s="183" t="s">
        <v>26</v>
      </c>
      <c r="K867" s="241">
        <v>39520</v>
      </c>
      <c r="L867" s="202" t="s">
        <v>817</v>
      </c>
      <c r="M867" s="262"/>
      <c r="N867" s="256">
        <f>330/19</f>
        <v>17.368421052631579</v>
      </c>
      <c r="O867" s="461">
        <f>CompletedProjects[[#This Row],[Power Plant Size (MW) or Share]]*0.593*9057*211.9*10^(-9)</f>
        <v>1.9766526396157894E-2</v>
      </c>
      <c r="P867" s="337">
        <f>CompletedProjects[[#This Row],[Annual Emissions (MMTCO2)]]*40</f>
        <v>0.79066105584631574</v>
      </c>
      <c r="Q867" s="176"/>
      <c r="R867" s="167" t="s">
        <v>400</v>
      </c>
      <c r="S867" s="167" t="s">
        <v>633</v>
      </c>
      <c r="T867" s="167"/>
      <c r="U867" s="30"/>
    </row>
    <row r="868" spans="1:26" ht="200.7">
      <c r="A868" s="167" t="s">
        <v>45</v>
      </c>
      <c r="B868" s="167" t="s">
        <v>513</v>
      </c>
      <c r="C868" s="171" t="s">
        <v>464</v>
      </c>
      <c r="D868" s="172">
        <f>180000000*'Dev Bank Share by Country'!$C$141</f>
        <v>5364000</v>
      </c>
      <c r="E868" s="173" t="s">
        <v>425</v>
      </c>
      <c r="F868" s="173" t="s">
        <v>426</v>
      </c>
      <c r="G868" s="262" t="s">
        <v>770</v>
      </c>
      <c r="H868" s="173" t="s">
        <v>65</v>
      </c>
      <c r="I868" s="180" t="s">
        <v>283</v>
      </c>
      <c r="J868" s="173" t="s">
        <v>277</v>
      </c>
      <c r="K868" s="241">
        <v>39982</v>
      </c>
      <c r="L868" s="197"/>
      <c r="M868" s="273"/>
      <c r="N868" s="256">
        <f>420/19</f>
        <v>22.105263157894736</v>
      </c>
      <c r="O868" s="461">
        <f>CompletedProjects[[#This Row],[Power Plant Size (MW) or Share]]*0.593*9057*211.9*10^(-9)</f>
        <v>2.5157397231473682E-2</v>
      </c>
      <c r="P868" s="337">
        <f>CompletedProjects[[#This Row],[Annual Emissions (MMTCO2)]]*40</f>
        <v>1.0062958892589473</v>
      </c>
      <c r="Q868" s="167"/>
      <c r="R868" s="173" t="s">
        <v>921</v>
      </c>
      <c r="S868" s="167" t="s">
        <v>466</v>
      </c>
      <c r="T868" s="173"/>
      <c r="U868" s="30"/>
    </row>
    <row r="869" spans="1:26" ht="43">
      <c r="A869" s="218" t="s">
        <v>45</v>
      </c>
      <c r="B869" s="218" t="s">
        <v>559</v>
      </c>
      <c r="C869" s="218" t="s">
        <v>464</v>
      </c>
      <c r="D869" s="172">
        <v>2252763.7842137283</v>
      </c>
      <c r="E869" s="173" t="s">
        <v>602</v>
      </c>
      <c r="F869" s="173" t="s">
        <v>603</v>
      </c>
      <c r="G869" s="262" t="s">
        <v>801</v>
      </c>
      <c r="H869" s="173" t="s">
        <v>39</v>
      </c>
      <c r="I869" s="180" t="s">
        <v>283</v>
      </c>
      <c r="J869" s="173" t="s">
        <v>277</v>
      </c>
      <c r="K869" s="240">
        <v>40561</v>
      </c>
      <c r="L869" s="173" t="s">
        <v>910</v>
      </c>
      <c r="M869" s="262"/>
      <c r="N869" s="337">
        <f>60/12</f>
        <v>5</v>
      </c>
      <c r="O869" s="461">
        <f>CompletedProjects[[#This Row],[Power Plant Size (MW) or Share]]*0.593*9057*211.9*10^(-9)</f>
        <v>5.6903636594999992E-3</v>
      </c>
      <c r="P869" s="337">
        <f>CompletedProjects[[#This Row],[Annual Emissions (MMTCO2)]]*40</f>
        <v>0.22761454637999998</v>
      </c>
      <c r="Q869" s="176"/>
      <c r="R869" s="178" t="s">
        <v>537</v>
      </c>
      <c r="S869" s="167"/>
      <c r="T869" s="178"/>
      <c r="U869" s="30"/>
    </row>
    <row r="870" spans="1:26" ht="57.35">
      <c r="A870" s="167" t="s">
        <v>45</v>
      </c>
      <c r="B870" s="171" t="s">
        <v>559</v>
      </c>
      <c r="C870" s="171" t="s">
        <v>464</v>
      </c>
      <c r="D870" s="172">
        <v>2841329.8320064056</v>
      </c>
      <c r="E870" s="173" t="s">
        <v>610</v>
      </c>
      <c r="F870" s="173" t="s">
        <v>610</v>
      </c>
      <c r="G870" s="262" t="s">
        <v>1604</v>
      </c>
      <c r="H870" s="173" t="s">
        <v>368</v>
      </c>
      <c r="I870" s="173" t="s">
        <v>40</v>
      </c>
      <c r="J870" s="173" t="s">
        <v>40</v>
      </c>
      <c r="K870" s="240">
        <v>41264</v>
      </c>
      <c r="L870" s="173" t="s">
        <v>1695</v>
      </c>
      <c r="M870" s="262"/>
      <c r="N870" s="337"/>
      <c r="O870" s="461">
        <f>CompletedProjects[[#This Row],[Power Plant Size (MW) or Share]]*0.593*9057*211.9*10^(-9)</f>
        <v>0</v>
      </c>
      <c r="P870" s="337">
        <f>CompletedProjects[[#This Row],[Annual Emissions (MMTCO2)]]*40</f>
        <v>0</v>
      </c>
      <c r="Q870" s="176"/>
      <c r="R870" s="178"/>
      <c r="S870" s="167"/>
      <c r="T870" s="178"/>
      <c r="U870" s="30"/>
    </row>
    <row r="871" spans="1:26" ht="258">
      <c r="A871" s="167" t="s">
        <v>45</v>
      </c>
      <c r="B871" s="167" t="s">
        <v>401</v>
      </c>
      <c r="C871" s="171" t="s">
        <v>464</v>
      </c>
      <c r="D871" s="172">
        <f>11000000*'Dev Bank Share by Country'!$E$141</f>
        <v>36374.563511101798</v>
      </c>
      <c r="E871" s="173" t="s">
        <v>420</v>
      </c>
      <c r="F871" s="173" t="s">
        <v>421</v>
      </c>
      <c r="G871" s="262" t="s">
        <v>769</v>
      </c>
      <c r="H871" s="173" t="s">
        <v>422</v>
      </c>
      <c r="I871" s="180" t="s">
        <v>283</v>
      </c>
      <c r="J871" s="173" t="s">
        <v>277</v>
      </c>
      <c r="K871" s="241">
        <v>39777</v>
      </c>
      <c r="L871" s="197"/>
      <c r="M871" s="273"/>
      <c r="N871" s="256"/>
      <c r="O871" s="461">
        <f>CompletedProjects[[#This Row],[Power Plant Size (MW) or Share]]*0.593*9057*211.9*10^(-9)</f>
        <v>0</v>
      </c>
      <c r="P871" s="337">
        <f>CompletedProjects[[#This Row],[Annual Emissions (MMTCO2)]]*40</f>
        <v>0</v>
      </c>
      <c r="Q871" s="167"/>
      <c r="R871" s="173" t="s">
        <v>834</v>
      </c>
      <c r="S871" s="167" t="s">
        <v>633</v>
      </c>
      <c r="T871" s="173"/>
      <c r="U871" s="30"/>
    </row>
    <row r="872" spans="1:26" ht="272.35000000000002">
      <c r="A872" s="167" t="s">
        <v>45</v>
      </c>
      <c r="B872" s="167" t="s">
        <v>513</v>
      </c>
      <c r="C872" s="167" t="s">
        <v>464</v>
      </c>
      <c r="D872" s="172">
        <f>1000000000*'Dev Bank Share by Country'!$C$141</f>
        <v>29800000</v>
      </c>
      <c r="E872" s="173" t="s">
        <v>425</v>
      </c>
      <c r="F872" s="173" t="s">
        <v>427</v>
      </c>
      <c r="G872" s="262" t="s">
        <v>778</v>
      </c>
      <c r="H872" s="173" t="s">
        <v>65</v>
      </c>
      <c r="I872" s="173" t="s">
        <v>1507</v>
      </c>
      <c r="J872" s="173" t="s">
        <v>428</v>
      </c>
      <c r="K872" s="241">
        <v>40078</v>
      </c>
      <c r="L872" s="197"/>
      <c r="M872" s="262"/>
      <c r="N872" s="256"/>
      <c r="O872" s="461">
        <f>CompletedProjects[[#This Row],[Power Plant Size (MW) or Share]]*0.593*9057*211.9*10^(-9)</f>
        <v>0</v>
      </c>
      <c r="P872" s="337">
        <f>CompletedProjects[[#This Row],[Annual Emissions (MMTCO2)]]*40</f>
        <v>0</v>
      </c>
      <c r="Q872" s="167"/>
      <c r="R872" s="173" t="s">
        <v>824</v>
      </c>
      <c r="S872" s="167" t="s">
        <v>465</v>
      </c>
      <c r="T872" s="173"/>
      <c r="U872" s="30"/>
    </row>
    <row r="873" spans="1:26" ht="114.7">
      <c r="A873" s="167" t="s">
        <v>45</v>
      </c>
      <c r="B873" s="171" t="s">
        <v>559</v>
      </c>
      <c r="C873" s="171" t="s">
        <v>464</v>
      </c>
      <c r="D873" s="172">
        <v>8092190.2255821535</v>
      </c>
      <c r="E873" s="173" t="s">
        <v>560</v>
      </c>
      <c r="F873" s="173" t="s">
        <v>561</v>
      </c>
      <c r="G873" s="262" t="s">
        <v>790</v>
      </c>
      <c r="H873" s="173" t="s">
        <v>56</v>
      </c>
      <c r="I873" s="173" t="s">
        <v>284</v>
      </c>
      <c r="J873" s="173" t="s">
        <v>79</v>
      </c>
      <c r="K873" s="240">
        <v>42278</v>
      </c>
      <c r="L873" s="173" t="s">
        <v>865</v>
      </c>
      <c r="M873" s="262" t="s">
        <v>866</v>
      </c>
      <c r="N873" s="337"/>
      <c r="O873" s="461">
        <f>CompletedProjects[[#This Row],[Power Plant Size (MW) or Share]]*0.593*9057*211.9*10^(-9)</f>
        <v>0</v>
      </c>
      <c r="P873" s="337">
        <f>CompletedProjects[[#This Row],[Annual Emissions (MMTCO2)]]*40</f>
        <v>0</v>
      </c>
      <c r="Q873" s="176"/>
      <c r="R873" s="178"/>
      <c r="S873" s="167"/>
      <c r="T873" s="178"/>
      <c r="U873" s="30"/>
    </row>
    <row r="874" spans="1:26" ht="86">
      <c r="A874" s="167" t="s">
        <v>45</v>
      </c>
      <c r="B874" s="171" t="s">
        <v>511</v>
      </c>
      <c r="C874" s="171" t="s">
        <v>464</v>
      </c>
      <c r="D874" s="172">
        <f>8000000*'Dev Bank Share by Country'!$G$141</f>
        <v>320639.95186644181</v>
      </c>
      <c r="E874" s="173" t="s">
        <v>405</v>
      </c>
      <c r="F874" s="173" t="s">
        <v>406</v>
      </c>
      <c r="G874" s="262" t="s">
        <v>786</v>
      </c>
      <c r="H874" s="173" t="s">
        <v>65</v>
      </c>
      <c r="I874" s="180" t="s">
        <v>283</v>
      </c>
      <c r="J874" s="173" t="s">
        <v>26</v>
      </c>
      <c r="K874" s="241">
        <v>39234</v>
      </c>
      <c r="L874" s="173" t="s">
        <v>815</v>
      </c>
      <c r="M874" s="262" t="s">
        <v>806</v>
      </c>
      <c r="N874" s="256">
        <f>600/19</f>
        <v>31.578947368421051</v>
      </c>
      <c r="O874" s="461">
        <f>CompletedProjects[[#This Row],[Power Plant Size (MW) or Share]]*0.593*9057*211.9*10^(-9)</f>
        <v>3.5939138902105268E-2</v>
      </c>
      <c r="P874" s="337">
        <f>CompletedProjects[[#This Row],[Annual Emissions (MMTCO2)]]*40</f>
        <v>1.4375655560842107</v>
      </c>
      <c r="Q874" s="167"/>
      <c r="R874" s="167" t="s">
        <v>467</v>
      </c>
      <c r="S874" s="167" t="s">
        <v>633</v>
      </c>
      <c r="T874" s="167"/>
      <c r="U874" s="30"/>
    </row>
    <row r="875" spans="1:26" ht="114.7">
      <c r="A875" s="167" t="s">
        <v>45</v>
      </c>
      <c r="B875" s="182" t="s">
        <v>511</v>
      </c>
      <c r="C875" s="182" t="s">
        <v>464</v>
      </c>
      <c r="D875" s="172">
        <f>275000000*'Dev Bank Share by Country'!$G$141</f>
        <v>11021998.345408939</v>
      </c>
      <c r="E875" s="173" t="s">
        <v>413</v>
      </c>
      <c r="F875" s="173" t="s">
        <v>413</v>
      </c>
      <c r="G875" s="262" t="s">
        <v>766</v>
      </c>
      <c r="H875" s="173" t="s">
        <v>95</v>
      </c>
      <c r="I875" s="180" t="s">
        <v>283</v>
      </c>
      <c r="J875" s="173" t="s">
        <v>277</v>
      </c>
      <c r="K875" s="241">
        <v>39394</v>
      </c>
      <c r="L875" s="173" t="s">
        <v>917</v>
      </c>
      <c r="M875" s="262"/>
      <c r="N875" s="256">
        <f>600/7/2</f>
        <v>42.857142857142854</v>
      </c>
      <c r="O875" s="461">
        <f>CompletedProjects[[#This Row],[Power Plant Size (MW) or Share]]*0.593*9057*211.9*10^(-9)</f>
        <v>4.8774545652857132E-2</v>
      </c>
      <c r="P875" s="337">
        <f>CompletedProjects[[#This Row],[Annual Emissions (MMTCO2)]]*40</f>
        <v>1.9509818261142853</v>
      </c>
      <c r="Q875" s="167"/>
      <c r="R875" s="167" t="s">
        <v>640</v>
      </c>
      <c r="S875" s="167" t="s">
        <v>465</v>
      </c>
      <c r="T875" s="167"/>
      <c r="U875" s="30"/>
    </row>
    <row r="876" spans="1:26" ht="43">
      <c r="A876" s="181" t="s">
        <v>45</v>
      </c>
      <c r="B876" s="182" t="s">
        <v>559</v>
      </c>
      <c r="C876" s="182" t="s">
        <v>464</v>
      </c>
      <c r="D876" s="172">
        <v>1181459.7729349944</v>
      </c>
      <c r="E876" s="173" t="s">
        <v>588</v>
      </c>
      <c r="F876" s="173" t="s">
        <v>588</v>
      </c>
      <c r="G876" s="265" t="s">
        <v>793</v>
      </c>
      <c r="H876" s="173" t="s">
        <v>201</v>
      </c>
      <c r="I876" s="173" t="s">
        <v>40</v>
      </c>
      <c r="J876" s="173" t="s">
        <v>40</v>
      </c>
      <c r="K876" s="240">
        <v>39422</v>
      </c>
      <c r="L876" s="167" t="s">
        <v>905</v>
      </c>
      <c r="M876" s="262"/>
      <c r="N876" s="337"/>
      <c r="O876" s="461">
        <f>CompletedProjects[[#This Row],[Power Plant Size (MW) or Share]]*0.593*9057*211.9*10^(-9)</f>
        <v>0</v>
      </c>
      <c r="P876" s="337">
        <f>CompletedProjects[[#This Row],[Annual Emissions (MMTCO2)]]*40</f>
        <v>0</v>
      </c>
      <c r="Q876" s="176"/>
      <c r="R876" s="178" t="s">
        <v>537</v>
      </c>
      <c r="S876" s="167"/>
      <c r="T876" s="178"/>
      <c r="U876" s="30"/>
    </row>
    <row r="877" spans="1:26" customFormat="1" ht="172">
      <c r="A877" s="219" t="s">
        <v>45</v>
      </c>
      <c r="B877" s="220" t="s">
        <v>401</v>
      </c>
      <c r="C877" s="221" t="s">
        <v>464</v>
      </c>
      <c r="D877" s="172">
        <f>11250000*'Dev Bank Share by Country'!$E$141</f>
        <v>37201.25813635411</v>
      </c>
      <c r="E877" s="173" t="s">
        <v>270</v>
      </c>
      <c r="F877" s="173" t="s">
        <v>433</v>
      </c>
      <c r="G877" s="262" t="s">
        <v>767</v>
      </c>
      <c r="H877" s="173" t="s">
        <v>201</v>
      </c>
      <c r="I877" s="173" t="s">
        <v>40</v>
      </c>
      <c r="J877" s="173" t="s">
        <v>417</v>
      </c>
      <c r="K877" s="241">
        <v>40673</v>
      </c>
      <c r="L877" s="173" t="s">
        <v>828</v>
      </c>
      <c r="M877" s="273" t="s">
        <v>827</v>
      </c>
      <c r="N877" s="256"/>
      <c r="O877" s="461">
        <f>CompletedProjects[[#This Row],[Power Plant Size (MW) or Share]]*0.593*9057*211.9*10^(-9)</f>
        <v>0</v>
      </c>
      <c r="P877" s="337">
        <f>CompletedProjects[[#This Row],[Annual Emissions (MMTCO2)]]*40</f>
        <v>0</v>
      </c>
      <c r="Q877" s="167"/>
      <c r="R877" s="167" t="s">
        <v>400</v>
      </c>
      <c r="S877" s="167" t="s">
        <v>465</v>
      </c>
      <c r="T877" s="167"/>
      <c r="U877" s="30"/>
      <c r="V877" s="30"/>
      <c r="W877" s="30"/>
      <c r="X877" s="30"/>
      <c r="Y877" s="30"/>
      <c r="Z877" s="30"/>
    </row>
    <row r="878" spans="1:26" customFormat="1" ht="71.7">
      <c r="A878" s="219" t="s">
        <v>45</v>
      </c>
      <c r="B878" s="221" t="s">
        <v>559</v>
      </c>
      <c r="C878" s="221" t="s">
        <v>464</v>
      </c>
      <c r="D878" s="172">
        <v>3211214.5411990066</v>
      </c>
      <c r="E878" s="173" t="s">
        <v>591</v>
      </c>
      <c r="F878" s="173" t="s">
        <v>590</v>
      </c>
      <c r="G878" s="265" t="s">
        <v>794</v>
      </c>
      <c r="H878" s="173" t="s">
        <v>45</v>
      </c>
      <c r="I878" s="180" t="s">
        <v>283</v>
      </c>
      <c r="J878" s="173" t="s">
        <v>277</v>
      </c>
      <c r="K878" s="240">
        <v>39553</v>
      </c>
      <c r="L878" s="173" t="s">
        <v>906</v>
      </c>
      <c r="M878" s="262"/>
      <c r="N878" s="337"/>
      <c r="O878" s="461">
        <f>CompletedProjects[[#This Row],[Power Plant Size (MW) or Share]]*0.593*9057*211.9*10^(-9)</f>
        <v>0</v>
      </c>
      <c r="P878" s="337">
        <f>CompletedProjects[[#This Row],[Annual Emissions (MMTCO2)]]*40</f>
        <v>0</v>
      </c>
      <c r="Q878" s="176"/>
      <c r="R878" s="178"/>
      <c r="S878" s="167"/>
      <c r="T878" s="178"/>
      <c r="U878" s="30"/>
      <c r="V878" s="30"/>
      <c r="W878" s="30"/>
      <c r="X878" s="30"/>
      <c r="Y878" s="30"/>
      <c r="Z878" s="30"/>
    </row>
    <row r="879" spans="1:26" customFormat="1" ht="43">
      <c r="A879" s="219" t="s">
        <v>45</v>
      </c>
      <c r="B879" s="221" t="s">
        <v>559</v>
      </c>
      <c r="C879" s="221" t="s">
        <v>464</v>
      </c>
      <c r="D879" s="172"/>
      <c r="E879" s="173" t="s">
        <v>611</v>
      </c>
      <c r="F879" s="173" t="s">
        <v>612</v>
      </c>
      <c r="G879" s="262" t="s">
        <v>804</v>
      </c>
      <c r="H879" s="173" t="s">
        <v>613</v>
      </c>
      <c r="I879" s="180" t="s">
        <v>283</v>
      </c>
      <c r="J879" s="173" t="s">
        <v>277</v>
      </c>
      <c r="K879" s="240">
        <v>39814</v>
      </c>
      <c r="L879" s="197"/>
      <c r="M879" s="262"/>
      <c r="N879" s="337"/>
      <c r="O879" s="461">
        <f>CompletedProjects[[#This Row],[Power Plant Size (MW) or Share]]*0.593*9057*211.9*10^(-9)</f>
        <v>0</v>
      </c>
      <c r="P879" s="337">
        <f>CompletedProjects[[#This Row],[Annual Emissions (MMTCO2)]]*40</f>
        <v>0</v>
      </c>
      <c r="Q879" s="176"/>
      <c r="R879" s="173" t="s">
        <v>914</v>
      </c>
      <c r="S879" s="167" t="s">
        <v>1688</v>
      </c>
      <c r="T879" s="173"/>
      <c r="U879" s="30"/>
      <c r="V879" s="30"/>
      <c r="W879" s="30"/>
      <c r="X879" s="30"/>
      <c r="Y879" s="30"/>
      <c r="Z879" s="30"/>
    </row>
    <row r="880" spans="1:26" customFormat="1" ht="71.7">
      <c r="A880" s="219" t="s">
        <v>45</v>
      </c>
      <c r="B880" s="221" t="s">
        <v>559</v>
      </c>
      <c r="C880" s="221" t="s">
        <v>464</v>
      </c>
      <c r="D880" s="172">
        <v>2184891.3609071816</v>
      </c>
      <c r="E880" s="173" t="s">
        <v>604</v>
      </c>
      <c r="F880" s="173" t="s">
        <v>605</v>
      </c>
      <c r="G880" s="262" t="s">
        <v>802</v>
      </c>
      <c r="H880" s="173" t="s">
        <v>493</v>
      </c>
      <c r="I880" s="180" t="s">
        <v>283</v>
      </c>
      <c r="J880" s="173" t="s">
        <v>277</v>
      </c>
      <c r="K880" s="240">
        <v>40589</v>
      </c>
      <c r="L880" s="173" t="s">
        <v>1693</v>
      </c>
      <c r="M880" s="262"/>
      <c r="N880" s="337">
        <f>154/12</f>
        <v>12.833333333333334</v>
      </c>
      <c r="O880" s="461">
        <f>CompletedProjects[[#This Row],[Power Plant Size (MW) or Share]]*0.593*9057*211.9*10^(-9)</f>
        <v>1.460526672605E-2</v>
      </c>
      <c r="P880" s="337">
        <f>CompletedProjects[[#This Row],[Annual Emissions (MMTCO2)]]*40</f>
        <v>0.58421066904200003</v>
      </c>
      <c r="Q880" s="176"/>
      <c r="R880" s="178" t="s">
        <v>537</v>
      </c>
      <c r="S880" s="167"/>
      <c r="T880" s="178"/>
      <c r="U880" s="30"/>
      <c r="V880" s="30"/>
      <c r="W880" s="30"/>
      <c r="X880" s="30"/>
      <c r="Y880" s="30"/>
      <c r="Z880" s="30"/>
    </row>
    <row r="881" spans="1:26" customFormat="1" ht="43">
      <c r="A881" s="219" t="s">
        <v>45</v>
      </c>
      <c r="B881" s="221" t="s">
        <v>559</v>
      </c>
      <c r="C881" s="221" t="s">
        <v>464</v>
      </c>
      <c r="D881" s="172">
        <v>1389267.2179279441</v>
      </c>
      <c r="E881" s="173" t="s">
        <v>587</v>
      </c>
      <c r="F881" s="173" t="s">
        <v>587</v>
      </c>
      <c r="G881" s="262" t="s">
        <v>792</v>
      </c>
      <c r="H881" s="173" t="s">
        <v>39</v>
      </c>
      <c r="I881" s="180" t="s">
        <v>283</v>
      </c>
      <c r="J881" s="173" t="s">
        <v>277</v>
      </c>
      <c r="K881" s="240">
        <v>39415</v>
      </c>
      <c r="L881" s="167" t="s">
        <v>904</v>
      </c>
      <c r="M881" s="262"/>
      <c r="N881" s="338">
        <f>550/12</f>
        <v>45.833333333333336</v>
      </c>
      <c r="O881" s="461">
        <f>CompletedProjects[[#This Row],[Power Plant Size (MW) or Share]]*0.593*9057*211.9*10^(-9)</f>
        <v>5.2161666878750006E-2</v>
      </c>
      <c r="P881" s="337">
        <f>CompletedProjects[[#This Row],[Annual Emissions (MMTCO2)]]*40</f>
        <v>2.0864666751500001</v>
      </c>
      <c r="Q881" s="169"/>
      <c r="R881" s="178" t="s">
        <v>537</v>
      </c>
      <c r="S881" s="181"/>
      <c r="T881" s="178"/>
      <c r="U881" s="30"/>
      <c r="V881" s="30"/>
      <c r="W881" s="30"/>
      <c r="X881" s="30"/>
      <c r="Y881" s="30"/>
      <c r="Z881" s="30"/>
    </row>
    <row r="882" spans="1:26" customFormat="1" ht="57.35">
      <c r="A882" s="219" t="s">
        <v>45</v>
      </c>
      <c r="B882" s="221" t="s">
        <v>445</v>
      </c>
      <c r="C882" s="221" t="s">
        <v>464</v>
      </c>
      <c r="D882" s="172">
        <f>450000000*'Dev Bank Share by Country'!$G$141</f>
        <v>18035997.292487353</v>
      </c>
      <c r="E882" s="183" t="s">
        <v>1395</v>
      </c>
      <c r="F882" s="183" t="s">
        <v>1393</v>
      </c>
      <c r="G882" s="267" t="s">
        <v>1394</v>
      </c>
      <c r="H882" s="183" t="s">
        <v>65</v>
      </c>
      <c r="I882" s="180" t="s">
        <v>283</v>
      </c>
      <c r="J882" s="183" t="s">
        <v>26</v>
      </c>
      <c r="K882" s="242">
        <v>39562</v>
      </c>
      <c r="L882" s="183" t="s">
        <v>1396</v>
      </c>
      <c r="M882" s="262" t="s">
        <v>768</v>
      </c>
      <c r="N882" s="338">
        <f>4000/3/20</f>
        <v>66.666666666666657</v>
      </c>
      <c r="O882" s="461">
        <f>CompletedProjects[[#This Row],[Power Plant Size (MW) or Share]]*0.593*9057*211.9*10^(-9)</f>
        <v>7.5871515459999983E-2</v>
      </c>
      <c r="P882" s="337">
        <f>CompletedProjects[[#This Row],[Annual Emissions (MMTCO2)]]*40</f>
        <v>3.0348606183999993</v>
      </c>
      <c r="Q882" s="169"/>
      <c r="R882" s="185"/>
      <c r="S882" s="181"/>
      <c r="T882" s="185"/>
      <c r="U882" s="30"/>
      <c r="V882" s="30"/>
      <c r="W882" s="30"/>
      <c r="X882" s="30"/>
      <c r="Y882" s="30"/>
      <c r="Z882" s="30"/>
    </row>
    <row r="883" spans="1:26" customFormat="1" ht="43">
      <c r="A883" s="219" t="s">
        <v>45</v>
      </c>
      <c r="B883" s="221" t="s">
        <v>559</v>
      </c>
      <c r="C883" s="221" t="s">
        <v>464</v>
      </c>
      <c r="D883" s="172">
        <v>5219462.6955004893</v>
      </c>
      <c r="E883" s="173" t="s">
        <v>600</v>
      </c>
      <c r="F883" s="173" t="s">
        <v>601</v>
      </c>
      <c r="G883" s="262" t="s">
        <v>800</v>
      </c>
      <c r="H883" s="173" t="s">
        <v>481</v>
      </c>
      <c r="I883" s="180" t="s">
        <v>283</v>
      </c>
      <c r="J883" s="173" t="s">
        <v>277</v>
      </c>
      <c r="K883" s="240">
        <v>40544</v>
      </c>
      <c r="L883" s="173" t="s">
        <v>909</v>
      </c>
      <c r="M883" s="262"/>
      <c r="N883" s="338">
        <f>600/12</f>
        <v>50</v>
      </c>
      <c r="O883" s="461">
        <f>CompletedProjects[[#This Row],[Power Plant Size (MW) or Share]]*0.593*9057*211.9*10^(-9)</f>
        <v>5.6903636595000001E-2</v>
      </c>
      <c r="P883" s="337">
        <f>CompletedProjects[[#This Row],[Annual Emissions (MMTCO2)]]*40</f>
        <v>2.2761454637999998</v>
      </c>
      <c r="Q883" s="176"/>
      <c r="R883" s="178"/>
      <c r="S883" s="167"/>
      <c r="T883" s="178"/>
      <c r="U883" s="30"/>
      <c r="V883" s="30"/>
      <c r="W883" s="30"/>
      <c r="X883" s="30"/>
      <c r="Y883" s="30"/>
      <c r="Z883" s="30"/>
    </row>
    <row r="884" spans="1:26" customFormat="1" ht="172">
      <c r="A884" s="219" t="s">
        <v>45</v>
      </c>
      <c r="B884" s="220" t="s">
        <v>401</v>
      </c>
      <c r="C884" s="221" t="s">
        <v>464</v>
      </c>
      <c r="D884" s="172">
        <f>21000000*'Dev Bank Share by Country'!$E$141</f>
        <v>69442.348521194333</v>
      </c>
      <c r="E884" s="173" t="s">
        <v>451</v>
      </c>
      <c r="F884" s="173" t="s">
        <v>452</v>
      </c>
      <c r="G884" s="262" t="s">
        <v>793</v>
      </c>
      <c r="H884" s="173" t="s">
        <v>453</v>
      </c>
      <c r="I884" s="173" t="s">
        <v>284</v>
      </c>
      <c r="J884" s="173" t="s">
        <v>1498</v>
      </c>
      <c r="K884" s="241">
        <v>41471</v>
      </c>
      <c r="L884" s="173" t="s">
        <v>926</v>
      </c>
      <c r="M884" s="262" t="s">
        <v>898</v>
      </c>
      <c r="N884" s="256"/>
      <c r="O884" s="461">
        <f>CompletedProjects[[#This Row],[Power Plant Size (MW) or Share]]*0.593*9057*211.9*10^(-9)</f>
        <v>0</v>
      </c>
      <c r="P884" s="337">
        <f>CompletedProjects[[#This Row],[Annual Emissions (MMTCO2)]]*40</f>
        <v>0</v>
      </c>
      <c r="Q884" s="167"/>
      <c r="R884" s="167" t="s">
        <v>400</v>
      </c>
      <c r="S884" s="167" t="s">
        <v>633</v>
      </c>
      <c r="T884" s="167" t="s">
        <v>537</v>
      </c>
      <c r="U884" s="30"/>
      <c r="V884" s="30"/>
      <c r="W884" s="30"/>
      <c r="X884" s="30"/>
      <c r="Y884" s="30"/>
      <c r="Z884" s="30"/>
    </row>
    <row r="885" spans="1:26" customFormat="1" ht="172">
      <c r="A885" s="219" t="s">
        <v>45</v>
      </c>
      <c r="B885" s="220" t="s">
        <v>401</v>
      </c>
      <c r="C885" s="221" t="s">
        <v>464</v>
      </c>
      <c r="D885" s="172">
        <f>12100000*'Dev Bank Share by Country'!$E$141</f>
        <v>40012.019862211979</v>
      </c>
      <c r="E885" s="173" t="s">
        <v>451</v>
      </c>
      <c r="F885" s="173" t="s">
        <v>452</v>
      </c>
      <c r="G885" s="262" t="s">
        <v>793</v>
      </c>
      <c r="H885" s="173" t="s">
        <v>453</v>
      </c>
      <c r="I885" s="173" t="s">
        <v>284</v>
      </c>
      <c r="J885" s="173" t="s">
        <v>1498</v>
      </c>
      <c r="K885" s="241">
        <v>41471</v>
      </c>
      <c r="L885" s="173" t="s">
        <v>926</v>
      </c>
      <c r="M885" s="262" t="s">
        <v>898</v>
      </c>
      <c r="N885" s="256"/>
      <c r="O885" s="461">
        <f>CompletedProjects[[#This Row],[Power Plant Size (MW) or Share]]*0.593*9057*211.9*10^(-9)</f>
        <v>0</v>
      </c>
      <c r="P885" s="337">
        <f>CompletedProjects[[#This Row],[Annual Emissions (MMTCO2)]]*40</f>
        <v>0</v>
      </c>
      <c r="Q885" s="167"/>
      <c r="R885" s="167" t="s">
        <v>400</v>
      </c>
      <c r="S885" s="167" t="s">
        <v>633</v>
      </c>
      <c r="T885" s="167" t="s">
        <v>537</v>
      </c>
      <c r="U885" s="30"/>
      <c r="V885" s="30"/>
      <c r="W885" s="30"/>
      <c r="X885" s="30"/>
      <c r="Y885" s="30"/>
      <c r="Z885" s="30"/>
    </row>
    <row r="886" spans="1:26" customFormat="1" ht="43">
      <c r="A886" s="219" t="s">
        <v>45</v>
      </c>
      <c r="B886" s="289" t="s">
        <v>1056</v>
      </c>
      <c r="C886" s="221" t="s">
        <v>337</v>
      </c>
      <c r="D886" s="172">
        <v>2500000000</v>
      </c>
      <c r="E886" s="173" t="s">
        <v>1057</v>
      </c>
      <c r="F886" s="173" t="s">
        <v>1058</v>
      </c>
      <c r="G886" s="262" t="s">
        <v>1060</v>
      </c>
      <c r="H886" s="175" t="s">
        <v>45</v>
      </c>
      <c r="I886" s="173" t="s">
        <v>40</v>
      </c>
      <c r="J886" s="170" t="s">
        <v>40</v>
      </c>
      <c r="K886" s="240">
        <v>41518</v>
      </c>
      <c r="L886" s="173"/>
      <c r="M886" s="262" t="s">
        <v>1059</v>
      </c>
      <c r="N886" s="337"/>
      <c r="O886" s="461">
        <f>CompletedProjects[[#This Row],[Power Plant Size (MW) or Share]]*0.593*9057*211.9*10^(-9)</f>
        <v>0</v>
      </c>
      <c r="P886" s="337">
        <f>CompletedProjects[[#This Row],[Annual Emissions (MMTCO2)]]*40</f>
        <v>0</v>
      </c>
      <c r="Q886" s="177">
        <v>11.7</v>
      </c>
      <c r="R886" s="178"/>
      <c r="S886" s="167"/>
      <c r="T886" s="178"/>
      <c r="U886" s="30"/>
      <c r="V886" s="30"/>
      <c r="W886" s="30"/>
      <c r="X886" s="30"/>
      <c r="Y886" s="30"/>
      <c r="Z886" s="30"/>
    </row>
    <row r="887" spans="1:26" customFormat="1" ht="57.35">
      <c r="A887" s="219" t="s">
        <v>45</v>
      </c>
      <c r="B887" s="221" t="s">
        <v>511</v>
      </c>
      <c r="C887" s="221" t="s">
        <v>464</v>
      </c>
      <c r="D887" s="172">
        <f>45500000*'Dev Bank Share by Country'!$G$141</f>
        <v>1823639.7262403879</v>
      </c>
      <c r="E887" s="173" t="s">
        <v>407</v>
      </c>
      <c r="F887" s="173" t="s">
        <v>407</v>
      </c>
      <c r="G887" s="262" t="s">
        <v>776</v>
      </c>
      <c r="H887" s="173" t="s">
        <v>408</v>
      </c>
      <c r="I887" s="180" t="s">
        <v>283</v>
      </c>
      <c r="J887" s="173" t="s">
        <v>409</v>
      </c>
      <c r="K887" s="241">
        <v>39254</v>
      </c>
      <c r="L887" s="173" t="s">
        <v>816</v>
      </c>
      <c r="M887" s="262"/>
      <c r="N887" s="256">
        <f>60/19</f>
        <v>3.1578947368421053</v>
      </c>
      <c r="O887" s="461">
        <f>CompletedProjects[[#This Row],[Power Plant Size (MW) or Share]]*0.593*9057*211.9*10^(-9)</f>
        <v>3.5939138902105262E-3</v>
      </c>
      <c r="P887" s="337">
        <f>CompletedProjects[[#This Row],[Annual Emissions (MMTCO2)]]*40</f>
        <v>0.14375655560842104</v>
      </c>
      <c r="Q887" s="167"/>
      <c r="R887" s="167" t="s">
        <v>636</v>
      </c>
      <c r="S887" s="167" t="s">
        <v>633</v>
      </c>
      <c r="T887" s="167"/>
      <c r="U887" s="30"/>
      <c r="V887" s="30"/>
      <c r="W887" s="30"/>
      <c r="X887" s="30"/>
      <c r="Y887" s="30"/>
      <c r="Z887" s="30"/>
    </row>
    <row r="888" spans="1:26" customFormat="1" ht="86">
      <c r="A888" s="167" t="s">
        <v>45</v>
      </c>
      <c r="B888" s="220" t="s">
        <v>401</v>
      </c>
      <c r="C888" s="221" t="s">
        <v>464</v>
      </c>
      <c r="D888" s="172">
        <f>7500000*'Dev Bank Share by Country'!$E$141</f>
        <v>24800.838757569407</v>
      </c>
      <c r="E888" s="173" t="s">
        <v>456</v>
      </c>
      <c r="F888" s="173" t="s">
        <v>457</v>
      </c>
      <c r="G888" s="262" t="s">
        <v>794</v>
      </c>
      <c r="H888" s="173" t="s">
        <v>458</v>
      </c>
      <c r="I888" s="180" t="s">
        <v>283</v>
      </c>
      <c r="J888" s="173" t="s">
        <v>26</v>
      </c>
      <c r="K888" s="241">
        <v>41627</v>
      </c>
      <c r="L888" s="173" t="s">
        <v>899</v>
      </c>
      <c r="M888" s="262"/>
      <c r="N888" s="256">
        <f>125/19</f>
        <v>6.5789473684210522</v>
      </c>
      <c r="O888" s="461">
        <f>CompletedProjects[[#This Row],[Power Plant Size (MW) or Share]]*0.593*9057*211.9*10^(-9)</f>
        <v>7.487320604605263E-3</v>
      </c>
      <c r="P888" s="337">
        <f>CompletedProjects[[#This Row],[Annual Emissions (MMTCO2)]]*40</f>
        <v>0.29949282418421053</v>
      </c>
      <c r="Q888" s="167"/>
      <c r="R888" s="167" t="s">
        <v>637</v>
      </c>
      <c r="S888" s="167" t="s">
        <v>633</v>
      </c>
      <c r="T888" s="167" t="s">
        <v>537</v>
      </c>
      <c r="U888" s="30"/>
      <c r="V888" s="30"/>
      <c r="W888" s="30"/>
      <c r="X888" s="30"/>
      <c r="Y888" s="30"/>
      <c r="Z888" s="30"/>
    </row>
    <row r="889" spans="1:26" customFormat="1" ht="100.35">
      <c r="A889" s="211" t="s">
        <v>45</v>
      </c>
      <c r="B889" s="214" t="s">
        <v>511</v>
      </c>
      <c r="C889" s="214" t="s">
        <v>464</v>
      </c>
      <c r="D889" s="172">
        <f>146970000*'Dev Bank Share by Country'!$G$141</f>
        <v>5890556.71572637</v>
      </c>
      <c r="E889" s="173" t="s">
        <v>459</v>
      </c>
      <c r="F889" s="173" t="s">
        <v>460</v>
      </c>
      <c r="G889" s="262" t="s">
        <v>784</v>
      </c>
      <c r="H889" s="173" t="s">
        <v>239</v>
      </c>
      <c r="I889" s="180" t="s">
        <v>283</v>
      </c>
      <c r="J889" s="173" t="s">
        <v>26</v>
      </c>
      <c r="K889" s="241">
        <v>41701</v>
      </c>
      <c r="L889" s="173" t="s">
        <v>900</v>
      </c>
      <c r="M889" s="262"/>
      <c r="N889" s="256"/>
      <c r="O889" s="461">
        <f>CompletedProjects[[#This Row],[Power Plant Size (MW) or Share]]*0.593*9057*211.9*10^(-9)</f>
        <v>0</v>
      </c>
      <c r="P889" s="337">
        <f>CompletedProjects[[#This Row],[Annual Emissions (MMTCO2)]]*40</f>
        <v>0</v>
      </c>
      <c r="Q889" s="167"/>
      <c r="R889" s="167" t="s">
        <v>400</v>
      </c>
      <c r="S889" s="167" t="s">
        <v>465</v>
      </c>
      <c r="T889" s="167"/>
      <c r="U889" s="30"/>
      <c r="V889" s="30"/>
      <c r="W889" s="30"/>
      <c r="X889" s="30"/>
      <c r="Y889" s="30"/>
      <c r="Z889" s="30"/>
    </row>
    <row r="890" spans="1:26" customFormat="1" ht="43">
      <c r="A890" s="219" t="s">
        <v>45</v>
      </c>
      <c r="B890" s="221" t="s">
        <v>559</v>
      </c>
      <c r="C890" s="221" t="s">
        <v>464</v>
      </c>
      <c r="D890" s="172">
        <v>3326618.4798345673</v>
      </c>
      <c r="E890" s="173" t="s">
        <v>595</v>
      </c>
      <c r="F890" s="173" t="s">
        <v>594</v>
      </c>
      <c r="G890" s="262" t="s">
        <v>796</v>
      </c>
      <c r="H890" s="173" t="s">
        <v>45</v>
      </c>
      <c r="I890" s="180" t="s">
        <v>283</v>
      </c>
      <c r="J890" s="173" t="s">
        <v>277</v>
      </c>
      <c r="K890" s="240">
        <v>40032</v>
      </c>
      <c r="L890" s="173"/>
      <c r="M890" s="262"/>
      <c r="N890" s="338">
        <f>185/12</f>
        <v>15.416666666666666</v>
      </c>
      <c r="O890" s="461">
        <f>CompletedProjects[[#This Row],[Power Plant Size (MW) or Share]]*0.593*9057*211.9*10^(-9)</f>
        <v>1.7545287950124999E-2</v>
      </c>
      <c r="P890" s="337">
        <f>CompletedProjects[[#This Row],[Annual Emissions (MMTCO2)]]*40</f>
        <v>0.70181151800499997</v>
      </c>
      <c r="Q890" s="176"/>
      <c r="R890" s="178"/>
      <c r="S890" s="167"/>
      <c r="T890" s="178"/>
      <c r="U890" s="30"/>
      <c r="V890" s="30"/>
      <c r="W890" s="30"/>
      <c r="X890" s="30"/>
      <c r="Y890" s="30"/>
      <c r="Z890" s="30"/>
    </row>
    <row r="891" spans="1:26" customFormat="1" ht="215">
      <c r="A891" s="219" t="s">
        <v>45</v>
      </c>
      <c r="B891" s="221" t="s">
        <v>511</v>
      </c>
      <c r="C891" s="221" t="s">
        <v>464</v>
      </c>
      <c r="D891" s="172">
        <f>28000000*'Dev Bank Share by Country'!$G$141</f>
        <v>1122239.8315325466</v>
      </c>
      <c r="E891" s="173" t="s">
        <v>446</v>
      </c>
      <c r="F891" s="173" t="s">
        <v>447</v>
      </c>
      <c r="G891" s="262" t="s">
        <v>782</v>
      </c>
      <c r="H891" s="173" t="s">
        <v>201</v>
      </c>
      <c r="I891" s="173" t="s">
        <v>284</v>
      </c>
      <c r="J891" s="173" t="s">
        <v>1498</v>
      </c>
      <c r="K891" s="241">
        <v>41333</v>
      </c>
      <c r="L891" s="173" t="s">
        <v>832</v>
      </c>
      <c r="M891" s="262"/>
      <c r="N891" s="256">
        <f>750/19</f>
        <v>39.473684210526315</v>
      </c>
      <c r="O891" s="461">
        <f>CompletedProjects[[#This Row],[Power Plant Size (MW) or Share]]*0.593*9057*211.9*10^(-9)</f>
        <v>4.4923923627631576E-2</v>
      </c>
      <c r="P891" s="337">
        <f>CompletedProjects[[#This Row],[Annual Emissions (MMTCO2)]]*40</f>
        <v>1.7969569451052632</v>
      </c>
      <c r="Q891" s="167"/>
      <c r="R891" s="167" t="s">
        <v>639</v>
      </c>
      <c r="S891" s="167"/>
      <c r="T891" s="167"/>
      <c r="U891" s="30"/>
      <c r="V891" s="30"/>
      <c r="W891" s="30"/>
      <c r="X891" s="30"/>
      <c r="Y891" s="30"/>
      <c r="Z891" s="30"/>
    </row>
    <row r="892" spans="1:26" customFormat="1" ht="86">
      <c r="A892" s="219" t="s">
        <v>45</v>
      </c>
      <c r="B892" s="221" t="s">
        <v>511</v>
      </c>
      <c r="C892" s="221" t="s">
        <v>464</v>
      </c>
      <c r="D892" s="172">
        <f>45500000*'Dev Bank Share by Country'!$G$141</f>
        <v>1823639.7262403879</v>
      </c>
      <c r="E892" s="173" t="s">
        <v>440</v>
      </c>
      <c r="F892" s="173" t="s">
        <v>441</v>
      </c>
      <c r="G892" s="262" t="s">
        <v>771</v>
      </c>
      <c r="H892" s="173" t="s">
        <v>442</v>
      </c>
      <c r="I892" s="173" t="s">
        <v>40</v>
      </c>
      <c r="J892" s="173" t="s">
        <v>443</v>
      </c>
      <c r="K892" s="241">
        <v>41060</v>
      </c>
      <c r="L892" s="173" t="s">
        <v>924</v>
      </c>
      <c r="M892" s="273"/>
      <c r="N892" s="256"/>
      <c r="O892" s="461">
        <f>CompletedProjects[[#This Row],[Power Plant Size (MW) or Share]]*0.593*9057*211.9*10^(-9)</f>
        <v>0</v>
      </c>
      <c r="P892" s="337">
        <f>CompletedProjects[[#This Row],[Annual Emissions (MMTCO2)]]*40</f>
        <v>0</v>
      </c>
      <c r="Q892" s="167"/>
      <c r="R892" s="167" t="s">
        <v>400</v>
      </c>
      <c r="S892" s="167" t="s">
        <v>465</v>
      </c>
      <c r="T892" s="167"/>
      <c r="U892" s="30"/>
      <c r="V892" s="30"/>
      <c r="W892" s="30"/>
      <c r="X892" s="30"/>
      <c r="Y892" s="30"/>
      <c r="Z892" s="30"/>
    </row>
    <row r="893" spans="1:26" customFormat="1" ht="215">
      <c r="A893" s="219" t="s">
        <v>45</v>
      </c>
      <c r="B893" s="220" t="s">
        <v>401</v>
      </c>
      <c r="C893" s="221" t="s">
        <v>464</v>
      </c>
      <c r="D893" s="172">
        <f>200000000*'Dev Bank Share by Country'!$E$141</f>
        <v>661355.70020185085</v>
      </c>
      <c r="E893" s="173" t="s">
        <v>461</v>
      </c>
      <c r="F893" s="173" t="s">
        <v>462</v>
      </c>
      <c r="G893" s="262" t="s">
        <v>795</v>
      </c>
      <c r="H893" s="173" t="s">
        <v>442</v>
      </c>
      <c r="I893" s="173" t="s">
        <v>284</v>
      </c>
      <c r="J893" s="173" t="s">
        <v>1498</v>
      </c>
      <c r="K893" s="241">
        <v>41760</v>
      </c>
      <c r="L893" s="173" t="s">
        <v>831</v>
      </c>
      <c r="M893" s="262" t="s">
        <v>830</v>
      </c>
      <c r="N893" s="256"/>
      <c r="O893" s="461">
        <f>CompletedProjects[[#This Row],[Power Plant Size (MW) or Share]]*0.593*9057*211.9*10^(-9)</f>
        <v>0</v>
      </c>
      <c r="P893" s="337">
        <f>CompletedProjects[[#This Row],[Annual Emissions (MMTCO2)]]*40</f>
        <v>0</v>
      </c>
      <c r="Q893" s="167"/>
      <c r="R893" s="167" t="s">
        <v>400</v>
      </c>
      <c r="S893" s="167" t="s">
        <v>465</v>
      </c>
      <c r="T893" s="167"/>
      <c r="U893" s="30"/>
      <c r="V893" s="30"/>
      <c r="W893" s="30"/>
      <c r="X893" s="30"/>
      <c r="Y893" s="30"/>
      <c r="Z893" s="30"/>
    </row>
    <row r="894" spans="1:26" customFormat="1" ht="114.7">
      <c r="A894" s="219" t="s">
        <v>45</v>
      </c>
      <c r="B894" s="220" t="s">
        <v>401</v>
      </c>
      <c r="C894" s="221" t="s">
        <v>464</v>
      </c>
      <c r="D894" s="172">
        <f>280000*'Dev Bank Share by Country'!$E$141</f>
        <v>925.89798028259122</v>
      </c>
      <c r="E894" s="173" t="s">
        <v>437</v>
      </c>
      <c r="F894" s="173" t="s">
        <v>438</v>
      </c>
      <c r="G894" s="262" t="s">
        <v>790</v>
      </c>
      <c r="H894" s="173" t="s">
        <v>439</v>
      </c>
      <c r="I894" s="173" t="s">
        <v>284</v>
      </c>
      <c r="J894" s="173" t="s">
        <v>1498</v>
      </c>
      <c r="K894" s="241">
        <v>41039</v>
      </c>
      <c r="L894" s="173" t="s">
        <v>897</v>
      </c>
      <c r="M894" s="273" t="s">
        <v>780</v>
      </c>
      <c r="N894" s="256"/>
      <c r="O894" s="461">
        <f>CompletedProjects[[#This Row],[Power Plant Size (MW) or Share]]*0.593*9057*211.9*10^(-9)</f>
        <v>0</v>
      </c>
      <c r="P894" s="337">
        <f>CompletedProjects[[#This Row],[Annual Emissions (MMTCO2)]]*40</f>
        <v>0</v>
      </c>
      <c r="Q894" s="167"/>
      <c r="R894" s="167" t="s">
        <v>400</v>
      </c>
      <c r="S894" s="167" t="s">
        <v>465</v>
      </c>
      <c r="T894" s="167"/>
      <c r="U894" s="30"/>
      <c r="V894" s="30"/>
      <c r="W894" s="30"/>
      <c r="X894" s="30"/>
      <c r="Y894" s="30"/>
      <c r="Z894" s="30"/>
    </row>
    <row r="895" spans="1:26" customFormat="1" ht="43">
      <c r="A895" s="219" t="s">
        <v>45</v>
      </c>
      <c r="B895" s="221" t="s">
        <v>559</v>
      </c>
      <c r="C895" s="221" t="s">
        <v>464</v>
      </c>
      <c r="D895" s="172">
        <v>1365557.1005669883</v>
      </c>
      <c r="E895" s="173" t="s">
        <v>608</v>
      </c>
      <c r="F895" s="173" t="s">
        <v>609</v>
      </c>
      <c r="G895" s="262" t="s">
        <v>803</v>
      </c>
      <c r="H895" s="173" t="s">
        <v>368</v>
      </c>
      <c r="I895" s="180" t="s">
        <v>284</v>
      </c>
      <c r="J895" s="180" t="s">
        <v>284</v>
      </c>
      <c r="K895" s="240">
        <v>40869</v>
      </c>
      <c r="L895" s="173" t="s">
        <v>1694</v>
      </c>
      <c r="M895" s="262"/>
      <c r="N895" s="337"/>
      <c r="O895" s="461">
        <f>CompletedProjects[[#This Row],[Power Plant Size (MW) or Share]]*0.593*9057*211.9*10^(-9)</f>
        <v>0</v>
      </c>
      <c r="P895" s="337">
        <f>CompletedProjects[[#This Row],[Annual Emissions (MMTCO2)]]*40</f>
        <v>0</v>
      </c>
      <c r="Q895" s="176"/>
      <c r="R895" s="178"/>
      <c r="S895" s="167"/>
      <c r="T895" s="178"/>
      <c r="U895" s="30"/>
      <c r="V895" s="30"/>
      <c r="W895" s="30"/>
      <c r="X895" s="30"/>
      <c r="Y895" s="30"/>
      <c r="Z895" s="30"/>
    </row>
    <row r="896" spans="1:26" customFormat="1" ht="57.35">
      <c r="A896" s="219" t="s">
        <v>45</v>
      </c>
      <c r="B896" s="221" t="s">
        <v>559</v>
      </c>
      <c r="C896" s="221" t="s">
        <v>464</v>
      </c>
      <c r="D896" s="172">
        <v>1149091.0120326658</v>
      </c>
      <c r="E896" s="173" t="s">
        <v>596</v>
      </c>
      <c r="F896" s="173" t="s">
        <v>597</v>
      </c>
      <c r="G896" s="262" t="s">
        <v>797</v>
      </c>
      <c r="H896" s="173" t="s">
        <v>493</v>
      </c>
      <c r="I896" s="180" t="s">
        <v>283</v>
      </c>
      <c r="J896" s="173" t="s">
        <v>277</v>
      </c>
      <c r="K896" s="240">
        <v>40052</v>
      </c>
      <c r="L896" s="269" t="s">
        <v>1690</v>
      </c>
      <c r="M896" s="262" t="s">
        <v>903</v>
      </c>
      <c r="N896" s="337"/>
      <c r="O896" s="461">
        <f>CompletedProjects[[#This Row],[Power Plant Size (MW) or Share]]*0.593*9057*211.9*10^(-9)</f>
        <v>0</v>
      </c>
      <c r="P896" s="337">
        <f>CompletedProjects[[#This Row],[Annual Emissions (MMTCO2)]]*40</f>
        <v>0</v>
      </c>
      <c r="Q896" s="176"/>
      <c r="R896" s="178"/>
      <c r="S896" s="167"/>
      <c r="T896" s="178"/>
      <c r="U896" s="30"/>
      <c r="V896" s="30"/>
      <c r="W896" s="30"/>
      <c r="X896" s="30"/>
      <c r="Y896" s="30"/>
      <c r="Z896" s="30"/>
    </row>
    <row r="897" spans="1:26" customFormat="1" ht="172">
      <c r="A897" s="219" t="s">
        <v>45</v>
      </c>
      <c r="B897" s="220" t="s">
        <v>513</v>
      </c>
      <c r="C897" s="220" t="s">
        <v>464</v>
      </c>
      <c r="D897" s="172">
        <f>57000000*'Dev Bank Share by Country'!$C$141</f>
        <v>1698600</v>
      </c>
      <c r="E897" s="173" t="s">
        <v>415</v>
      </c>
      <c r="F897" s="173" t="s">
        <v>416</v>
      </c>
      <c r="G897" s="262" t="s">
        <v>772</v>
      </c>
      <c r="H897" s="173" t="s">
        <v>368</v>
      </c>
      <c r="I897" s="173" t="s">
        <v>40</v>
      </c>
      <c r="J897" s="173" t="s">
        <v>417</v>
      </c>
      <c r="K897" s="241">
        <v>39436</v>
      </c>
      <c r="L897" s="173" t="s">
        <v>918</v>
      </c>
      <c r="M897" s="273" t="s">
        <v>895</v>
      </c>
      <c r="N897" s="256"/>
      <c r="O897" s="461">
        <f>CompletedProjects[[#This Row],[Power Plant Size (MW) or Share]]*0.593*9057*211.9*10^(-9)</f>
        <v>0</v>
      </c>
      <c r="P897" s="337">
        <f>CompletedProjects[[#This Row],[Annual Emissions (MMTCO2)]]*40</f>
        <v>0</v>
      </c>
      <c r="Q897" s="167"/>
      <c r="R897" s="167" t="s">
        <v>400</v>
      </c>
      <c r="S897" s="167" t="s">
        <v>633</v>
      </c>
      <c r="T897" s="167"/>
      <c r="U897" s="30"/>
      <c r="V897" s="30"/>
      <c r="W897" s="30"/>
      <c r="X897" s="30"/>
      <c r="Y897" s="30"/>
      <c r="Z897" s="30"/>
    </row>
    <row r="898" spans="1:26" customFormat="1" ht="172">
      <c r="A898" s="219" t="s">
        <v>1253</v>
      </c>
      <c r="B898" s="221" t="s">
        <v>511</v>
      </c>
      <c r="C898" s="221" t="s">
        <v>464</v>
      </c>
      <c r="D898" s="172">
        <f>500000000*'Dev Bank Share by Country'!$G$146</f>
        <v>9944302.7083309796</v>
      </c>
      <c r="E898" s="183" t="s">
        <v>454</v>
      </c>
      <c r="F898" s="183" t="s">
        <v>454</v>
      </c>
      <c r="G898" s="262" t="s">
        <v>783</v>
      </c>
      <c r="H898" s="183" t="s">
        <v>515</v>
      </c>
      <c r="I898" s="180" t="s">
        <v>283</v>
      </c>
      <c r="J898" s="183" t="s">
        <v>26</v>
      </c>
      <c r="K898" s="242">
        <v>41760</v>
      </c>
      <c r="L898" s="183" t="s">
        <v>833</v>
      </c>
      <c r="M898" s="262"/>
      <c r="N898" s="337">
        <f>(270+450)/19</f>
        <v>37.89473684210526</v>
      </c>
      <c r="O898" s="461">
        <f>CompletedProjects[[#This Row],[Power Plant Size (MW) or Share]]*0.593*9057*211.9*10^(-9)</f>
        <v>4.3126966682526316E-2</v>
      </c>
      <c r="P898" s="337">
        <f>CompletedProjects[[#This Row],[Annual Emissions (MMTCO2)]]*40</f>
        <v>1.7250786673010525</v>
      </c>
      <c r="Q898" s="176"/>
      <c r="R898" s="178" t="s">
        <v>639</v>
      </c>
      <c r="S898" s="167" t="s">
        <v>465</v>
      </c>
      <c r="T898" s="178"/>
      <c r="U898" s="30"/>
      <c r="V898" s="30"/>
      <c r="W898" s="30"/>
      <c r="X898" s="30"/>
      <c r="Y898" s="30"/>
      <c r="Z898" s="30"/>
    </row>
    <row r="899" spans="1:26" customFormat="1" ht="172">
      <c r="A899" s="219" t="s">
        <v>1253</v>
      </c>
      <c r="B899" s="220" t="s">
        <v>401</v>
      </c>
      <c r="C899" s="221" t="s">
        <v>464</v>
      </c>
      <c r="D899" s="172">
        <f>1120000*'Dev Bank Share by Country'!$E$146</f>
        <v>36344.801866341702</v>
      </c>
      <c r="E899" s="173" t="s">
        <v>402</v>
      </c>
      <c r="F899" s="173" t="s">
        <v>403</v>
      </c>
      <c r="G899" s="262" t="s">
        <v>785</v>
      </c>
      <c r="H899" s="173" t="s">
        <v>404</v>
      </c>
      <c r="I899" s="173" t="s">
        <v>284</v>
      </c>
      <c r="J899" s="173" t="s">
        <v>1498</v>
      </c>
      <c r="K899" s="241">
        <v>39224</v>
      </c>
      <c r="L899" s="173" t="s">
        <v>826</v>
      </c>
      <c r="M899" s="262" t="s">
        <v>785</v>
      </c>
      <c r="N899" s="256"/>
      <c r="O899" s="461">
        <f>CompletedProjects[[#This Row],[Power Plant Size (MW) or Share]]*0.593*9057*211.9*10^(-9)</f>
        <v>0</v>
      </c>
      <c r="P899" s="337">
        <f>CompletedProjects[[#This Row],[Annual Emissions (MMTCO2)]]*40</f>
        <v>0</v>
      </c>
      <c r="Q899" s="167"/>
      <c r="R899" s="167" t="s">
        <v>400</v>
      </c>
      <c r="S899" s="167" t="s">
        <v>633</v>
      </c>
      <c r="T899" s="167" t="s">
        <v>537</v>
      </c>
      <c r="U899" s="30"/>
      <c r="V899" s="30"/>
      <c r="W899" s="30"/>
      <c r="X899" s="30"/>
      <c r="Y899" s="30"/>
      <c r="Z899" s="30"/>
    </row>
    <row r="900" spans="1:26" customFormat="1" ht="172">
      <c r="A900" s="219" t="s">
        <v>1253</v>
      </c>
      <c r="B900" s="220" t="s">
        <v>401</v>
      </c>
      <c r="C900" s="221" t="s">
        <v>464</v>
      </c>
      <c r="D900" s="172">
        <f>4200000*'Dev Bank Share by Country'!$E$146</f>
        <v>136293.00699878138</v>
      </c>
      <c r="E900" s="173" t="s">
        <v>448</v>
      </c>
      <c r="F900" s="173" t="s">
        <v>449</v>
      </c>
      <c r="G900" s="262" t="s">
        <v>792</v>
      </c>
      <c r="H900" s="173" t="s">
        <v>450</v>
      </c>
      <c r="I900" s="173" t="s">
        <v>40</v>
      </c>
      <c r="J900" s="173" t="s">
        <v>1502</v>
      </c>
      <c r="K900" s="241">
        <v>41404</v>
      </c>
      <c r="L900" s="173" t="s">
        <v>925</v>
      </c>
      <c r="M900" s="262"/>
      <c r="N900" s="256"/>
      <c r="O900" s="461">
        <f>CompletedProjects[[#This Row],[Power Plant Size (MW) or Share]]*0.593*9057*211.9*10^(-9)</f>
        <v>0</v>
      </c>
      <c r="P900" s="337">
        <f>CompletedProjects[[#This Row],[Annual Emissions (MMTCO2)]]*40</f>
        <v>0</v>
      </c>
      <c r="Q900" s="167"/>
      <c r="R900" s="167" t="s">
        <v>400</v>
      </c>
      <c r="S900" s="167" t="s">
        <v>465</v>
      </c>
      <c r="T900" s="167"/>
      <c r="U900" s="30"/>
      <c r="V900" s="30"/>
      <c r="W900" s="30"/>
      <c r="X900" s="30"/>
      <c r="Y900" s="30"/>
      <c r="Z900" s="30"/>
    </row>
    <row r="901" spans="1:26" customFormat="1" ht="157.69999999999999">
      <c r="A901" s="167" t="s">
        <v>1253</v>
      </c>
      <c r="B901" s="220" t="s">
        <v>513</v>
      </c>
      <c r="C901" s="221" t="s">
        <v>464</v>
      </c>
      <c r="D901" s="172">
        <f>180000000*'Dev Bank Share by Country'!$C$146</f>
        <v>5724000</v>
      </c>
      <c r="E901" s="173" t="s">
        <v>425</v>
      </c>
      <c r="F901" s="173" t="s">
        <v>426</v>
      </c>
      <c r="G901" s="262" t="s">
        <v>770</v>
      </c>
      <c r="H901" s="173" t="s">
        <v>65</v>
      </c>
      <c r="I901" s="180" t="s">
        <v>283</v>
      </c>
      <c r="J901" s="173" t="s">
        <v>277</v>
      </c>
      <c r="K901" s="241">
        <v>39982</v>
      </c>
      <c r="L901" s="173" t="s">
        <v>921</v>
      </c>
      <c r="M901" s="273"/>
      <c r="N901" s="256">
        <f>420/19</f>
        <v>22.105263157894736</v>
      </c>
      <c r="O901" s="461">
        <f>CompletedProjects[[#This Row],[Power Plant Size (MW) or Share]]*0.593*9057*211.9*10^(-9)</f>
        <v>2.5157397231473682E-2</v>
      </c>
      <c r="P901" s="337">
        <f>CompletedProjects[[#This Row],[Annual Emissions (MMTCO2)]]*40</f>
        <v>1.0062958892589473</v>
      </c>
      <c r="Q901" s="167"/>
      <c r="R901" s="167" t="s">
        <v>638</v>
      </c>
      <c r="S901" s="167" t="s">
        <v>466</v>
      </c>
      <c r="T901" s="167"/>
      <c r="U901" s="30"/>
      <c r="V901" s="30"/>
      <c r="W901" s="30"/>
      <c r="X901" s="30"/>
      <c r="Y901" s="30"/>
      <c r="Z901" s="30"/>
    </row>
    <row r="902" spans="1:26" customFormat="1" ht="100.35">
      <c r="A902" s="211" t="s">
        <v>1253</v>
      </c>
      <c r="B902" s="212" t="s">
        <v>511</v>
      </c>
      <c r="C902" s="212" t="s">
        <v>464</v>
      </c>
      <c r="D902" s="172">
        <f>25000000*'Dev Bank Share by Country'!$G$146</f>
        <v>497215.13541654899</v>
      </c>
      <c r="E902" s="173" t="s">
        <v>398</v>
      </c>
      <c r="F902" s="173" t="s">
        <v>398</v>
      </c>
      <c r="G902" s="262" t="s">
        <v>787</v>
      </c>
      <c r="H902" s="173" t="s">
        <v>399</v>
      </c>
      <c r="I902" s="180" t="s">
        <v>283</v>
      </c>
      <c r="J902" s="173" t="s">
        <v>26</v>
      </c>
      <c r="K902" s="241">
        <v>39204</v>
      </c>
      <c r="L902" s="173" t="s">
        <v>915</v>
      </c>
      <c r="M902" s="262"/>
      <c r="N902" s="256">
        <f>30/20</f>
        <v>1.5</v>
      </c>
      <c r="O902" s="461">
        <f>CompletedProjects[[#This Row],[Power Plant Size (MW) or Share]]*0.593*9057*211.9*10^(-9)</f>
        <v>1.7071090978499999E-3</v>
      </c>
      <c r="P902" s="337">
        <f>CompletedProjects[[#This Row],[Annual Emissions (MMTCO2)]]*40</f>
        <v>6.8284363914000001E-2</v>
      </c>
      <c r="Q902" s="176"/>
      <c r="R902" s="167" t="s">
        <v>635</v>
      </c>
      <c r="S902" s="167" t="s">
        <v>465</v>
      </c>
      <c r="T902" s="167"/>
      <c r="U902" s="30"/>
      <c r="V902" s="30"/>
      <c r="W902" s="30"/>
      <c r="X902" s="30"/>
      <c r="Y902" s="30"/>
      <c r="Z902" s="30"/>
    </row>
    <row r="903" spans="1:26" customFormat="1" ht="229.35">
      <c r="A903" s="167" t="s">
        <v>1253</v>
      </c>
      <c r="B903" s="167" t="s">
        <v>513</v>
      </c>
      <c r="C903" s="167" t="s">
        <v>464</v>
      </c>
      <c r="D903" s="172">
        <f>180000000*'Dev Bank Share by Country'!$C$146</f>
        <v>5724000</v>
      </c>
      <c r="E903" s="173" t="s">
        <v>425</v>
      </c>
      <c r="F903" s="173" t="s">
        <v>427</v>
      </c>
      <c r="G903" s="262" t="s">
        <v>778</v>
      </c>
      <c r="H903" s="173" t="s">
        <v>65</v>
      </c>
      <c r="I903" s="173" t="s">
        <v>1507</v>
      </c>
      <c r="J903" s="173" t="s">
        <v>428</v>
      </c>
      <c r="K903" s="241">
        <v>40078</v>
      </c>
      <c r="L903" s="173" t="s">
        <v>824</v>
      </c>
      <c r="M903" s="262"/>
      <c r="N903" s="256"/>
      <c r="O903" s="461">
        <f>CompletedProjects[[#This Row],[Power Plant Size (MW) or Share]]*0.593*9057*211.9*10^(-9)</f>
        <v>0</v>
      </c>
      <c r="P903" s="337">
        <f>CompletedProjects[[#This Row],[Annual Emissions (MMTCO2)]]*40</f>
        <v>0</v>
      </c>
      <c r="Q903" s="167"/>
      <c r="R903" s="167" t="s">
        <v>400</v>
      </c>
      <c r="S903" s="167" t="s">
        <v>465</v>
      </c>
      <c r="T903" s="167"/>
      <c r="U903" s="30"/>
      <c r="V903" s="30"/>
      <c r="W903" s="30"/>
      <c r="X903" s="30"/>
      <c r="Y903" s="30"/>
      <c r="Z903" s="30"/>
    </row>
    <row r="904" spans="1:26" customFormat="1" ht="100.35">
      <c r="A904" s="167" t="s">
        <v>1253</v>
      </c>
      <c r="B904" s="182" t="s">
        <v>511</v>
      </c>
      <c r="C904" s="182" t="s">
        <v>464</v>
      </c>
      <c r="D904" s="172">
        <f>46500000*'Dev Bank Share by Country'!$G$146</f>
        <v>924820.15187478112</v>
      </c>
      <c r="E904" s="173" t="s">
        <v>423</v>
      </c>
      <c r="F904" s="173" t="s">
        <v>424</v>
      </c>
      <c r="G904" s="262" t="s">
        <v>774</v>
      </c>
      <c r="H904" s="173" t="s">
        <v>65</v>
      </c>
      <c r="I904" s="173" t="s">
        <v>284</v>
      </c>
      <c r="J904" s="173" t="s">
        <v>79</v>
      </c>
      <c r="K904" s="241">
        <v>39898</v>
      </c>
      <c r="L904" s="173" t="s">
        <v>920</v>
      </c>
      <c r="M904" s="273"/>
      <c r="N904" s="256"/>
      <c r="O904" s="461">
        <f>CompletedProjects[[#This Row],[Power Plant Size (MW) or Share]]*0.593*9057*211.9*10^(-9)</f>
        <v>0</v>
      </c>
      <c r="P904" s="337">
        <f>CompletedProjects[[#This Row],[Annual Emissions (MMTCO2)]]*40</f>
        <v>0</v>
      </c>
      <c r="Q904" s="167"/>
      <c r="R904" s="167" t="s">
        <v>400</v>
      </c>
      <c r="S904" s="167" t="s">
        <v>465</v>
      </c>
      <c r="T904" s="167"/>
      <c r="U904" s="30"/>
      <c r="V904" s="30"/>
      <c r="W904" s="30"/>
      <c r="X904" s="30"/>
      <c r="Y904" s="30"/>
      <c r="Z904" s="30"/>
    </row>
    <row r="905" spans="1:26" customFormat="1" ht="272.35000000000002">
      <c r="A905" s="167" t="s">
        <v>1253</v>
      </c>
      <c r="B905" s="167" t="s">
        <v>513</v>
      </c>
      <c r="C905" s="171" t="s">
        <v>464</v>
      </c>
      <c r="D905" s="172">
        <f>29600000*'Dev Bank Share by Country'!$C$146</f>
        <v>941280</v>
      </c>
      <c r="E905" s="173" t="s">
        <v>266</v>
      </c>
      <c r="F905" s="173" t="s">
        <v>444</v>
      </c>
      <c r="G905" s="262" t="s">
        <v>781</v>
      </c>
      <c r="H905" s="173" t="s">
        <v>85</v>
      </c>
      <c r="I905" s="173" t="s">
        <v>284</v>
      </c>
      <c r="J905" s="173" t="s">
        <v>1498</v>
      </c>
      <c r="K905" s="241">
        <v>41163</v>
      </c>
      <c r="L905" s="173" t="s">
        <v>825</v>
      </c>
      <c r="M905" s="262"/>
      <c r="N905" s="256"/>
      <c r="O905" s="461">
        <f>CompletedProjects[[#This Row],[Power Plant Size (MW) or Share]]*0.593*9057*211.9*10^(-9)</f>
        <v>0</v>
      </c>
      <c r="P905" s="337">
        <f>CompletedProjects[[#This Row],[Annual Emissions (MMTCO2)]]*40</f>
        <v>0</v>
      </c>
      <c r="Q905" s="167"/>
      <c r="R905" s="167" t="s">
        <v>400</v>
      </c>
      <c r="S905" s="167" t="s">
        <v>465</v>
      </c>
      <c r="T905" s="167"/>
      <c r="U905" s="30"/>
      <c r="V905" s="30"/>
      <c r="W905" s="30"/>
      <c r="X905" s="30"/>
      <c r="Y905" s="30"/>
      <c r="Z905" s="30"/>
    </row>
    <row r="906" spans="1:26" customFormat="1" ht="157.69999999999999">
      <c r="A906" s="167" t="s">
        <v>1253</v>
      </c>
      <c r="B906" s="167" t="s">
        <v>401</v>
      </c>
      <c r="C906" s="182" t="s">
        <v>464</v>
      </c>
      <c r="D906" s="172">
        <f>2000000*'Dev Bank Share by Country'!$E$146</f>
        <v>64901.431904181612</v>
      </c>
      <c r="E906" s="173" t="s">
        <v>410</v>
      </c>
      <c r="F906" s="173" t="s">
        <v>411</v>
      </c>
      <c r="G906" s="262" t="s">
        <v>777</v>
      </c>
      <c r="H906" s="173" t="s">
        <v>412</v>
      </c>
      <c r="I906" s="173" t="s">
        <v>284</v>
      </c>
      <c r="J906" s="173" t="s">
        <v>1498</v>
      </c>
      <c r="K906" s="241">
        <v>39261</v>
      </c>
      <c r="L906" s="173" t="s">
        <v>916</v>
      </c>
      <c r="M906" s="262"/>
      <c r="N906" s="256"/>
      <c r="O906" s="461">
        <f>CompletedProjects[[#This Row],[Power Plant Size (MW) or Share]]*0.593*9057*211.9*10^(-9)</f>
        <v>0</v>
      </c>
      <c r="P906" s="337">
        <f>CompletedProjects[[#This Row],[Annual Emissions (MMTCO2)]]*40</f>
        <v>0</v>
      </c>
      <c r="Q906" s="167"/>
      <c r="R906" s="167" t="s">
        <v>400</v>
      </c>
      <c r="S906" s="167" t="s">
        <v>633</v>
      </c>
      <c r="T906" s="167"/>
      <c r="U906" s="30"/>
      <c r="V906" s="30"/>
      <c r="W906" s="30"/>
      <c r="X906" s="30"/>
      <c r="Y906" s="30"/>
      <c r="Z906" s="30"/>
    </row>
    <row r="907" spans="1:26" customFormat="1" ht="114.7">
      <c r="A907" s="167" t="s">
        <v>1253</v>
      </c>
      <c r="B907" s="167" t="s">
        <v>513</v>
      </c>
      <c r="C907" s="182" t="s">
        <v>464</v>
      </c>
      <c r="D907" s="172">
        <f>180000000*'Dev Bank Share by Country'!$C$146</f>
        <v>5724000</v>
      </c>
      <c r="E907" s="173" t="s">
        <v>41</v>
      </c>
      <c r="F907" s="173" t="s">
        <v>432</v>
      </c>
      <c r="G907" s="262" t="s">
        <v>773</v>
      </c>
      <c r="H907" s="173" t="s">
        <v>25</v>
      </c>
      <c r="I907" s="180" t="s">
        <v>283</v>
      </c>
      <c r="J907" s="173" t="s">
        <v>26</v>
      </c>
      <c r="K907" s="241">
        <v>40276</v>
      </c>
      <c r="L907" s="173" t="s">
        <v>923</v>
      </c>
      <c r="M907" s="273"/>
      <c r="N907" s="337">
        <f>4800/19/2</f>
        <v>126.31578947368421</v>
      </c>
      <c r="O907" s="461">
        <f>CompletedProjects[[#This Row],[Power Plant Size (MW) or Share]]*0.593*9057*211.9*10^(-9)</f>
        <v>0.14375655560842107</v>
      </c>
      <c r="P907" s="337">
        <f>CompletedProjects[[#This Row],[Annual Emissions (MMTCO2)]]*40</f>
        <v>5.7502622243368426</v>
      </c>
      <c r="Q907" s="167"/>
      <c r="R907" s="178" t="s">
        <v>643</v>
      </c>
      <c r="S907" s="167" t="s">
        <v>465</v>
      </c>
      <c r="T907" s="178"/>
      <c r="U907" s="30"/>
      <c r="V907" s="30"/>
      <c r="W907" s="30"/>
      <c r="X907" s="30"/>
      <c r="Y907" s="30"/>
      <c r="Z907" s="30"/>
    </row>
    <row r="908" spans="1:26" customFormat="1" ht="100.35">
      <c r="A908" s="167" t="s">
        <v>1253</v>
      </c>
      <c r="B908" s="167" t="s">
        <v>513</v>
      </c>
      <c r="C908" s="167" t="s">
        <v>464</v>
      </c>
      <c r="D908" s="172">
        <f>379060000*'Dev Bank Share by Country'!$C$146</f>
        <v>12054108</v>
      </c>
      <c r="E908" s="173" t="s">
        <v>429</v>
      </c>
      <c r="F908" s="173" t="s">
        <v>430</v>
      </c>
      <c r="G908" s="262" t="s">
        <v>779</v>
      </c>
      <c r="H908" s="173" t="s">
        <v>431</v>
      </c>
      <c r="I908" s="180" t="s">
        <v>283</v>
      </c>
      <c r="J908" s="173" t="s">
        <v>26</v>
      </c>
      <c r="K908" s="241">
        <v>40115</v>
      </c>
      <c r="L908" s="173" t="s">
        <v>922</v>
      </c>
      <c r="M908" s="262"/>
      <c r="N908" s="337">
        <f>600/19/2</f>
        <v>15.789473684210526</v>
      </c>
      <c r="O908" s="461">
        <f>CompletedProjects[[#This Row],[Power Plant Size (MW) or Share]]*0.593*9057*211.9*10^(-9)</f>
        <v>1.7969569451052634E-2</v>
      </c>
      <c r="P908" s="337">
        <f>CompletedProjects[[#This Row],[Annual Emissions (MMTCO2)]]*40</f>
        <v>0.71878277804210533</v>
      </c>
      <c r="Q908" s="167"/>
      <c r="R908" s="178" t="s">
        <v>640</v>
      </c>
      <c r="S908" s="167" t="s">
        <v>633</v>
      </c>
      <c r="T908" s="178"/>
      <c r="U908" s="30"/>
      <c r="V908" s="30"/>
      <c r="W908" s="30"/>
      <c r="X908" s="30"/>
      <c r="Y908" s="30"/>
      <c r="Z908" s="30"/>
    </row>
    <row r="909" spans="1:26" customFormat="1" ht="172">
      <c r="A909" s="167" t="s">
        <v>1253</v>
      </c>
      <c r="B909" s="167" t="s">
        <v>401</v>
      </c>
      <c r="C909" s="171" t="s">
        <v>464</v>
      </c>
      <c r="D909" s="172">
        <f>21000000*'Dev Bank Share by Country'!$E$146</f>
        <v>681465.03499390697</v>
      </c>
      <c r="E909" s="173" t="s">
        <v>451</v>
      </c>
      <c r="F909" s="173" t="s">
        <v>452</v>
      </c>
      <c r="G909" s="262" t="s">
        <v>793</v>
      </c>
      <c r="H909" s="173" t="s">
        <v>453</v>
      </c>
      <c r="I909" s="173" t="s">
        <v>284</v>
      </c>
      <c r="J909" s="173" t="s">
        <v>1498</v>
      </c>
      <c r="K909" s="241">
        <v>41471</v>
      </c>
      <c r="L909" s="173" t="s">
        <v>926</v>
      </c>
      <c r="M909" s="262" t="s">
        <v>898</v>
      </c>
      <c r="N909" s="256"/>
      <c r="O909" s="461">
        <f>CompletedProjects[[#This Row],[Power Plant Size (MW) or Share]]*0.593*9057*211.9*10^(-9)</f>
        <v>0</v>
      </c>
      <c r="P909" s="337">
        <f>CompletedProjects[[#This Row],[Annual Emissions (MMTCO2)]]*40</f>
        <v>0</v>
      </c>
      <c r="Q909" s="167"/>
      <c r="R909" s="167" t="s">
        <v>400</v>
      </c>
      <c r="S909" s="167" t="s">
        <v>633</v>
      </c>
      <c r="T909" s="167" t="s">
        <v>537</v>
      </c>
      <c r="U909" s="30"/>
      <c r="V909" s="30"/>
      <c r="W909" s="30"/>
      <c r="X909" s="30"/>
      <c r="Y909" s="30"/>
      <c r="Z909" s="30"/>
    </row>
    <row r="910" spans="1:26" customFormat="1" ht="172">
      <c r="A910" s="167" t="s">
        <v>1253</v>
      </c>
      <c r="B910" s="167" t="s">
        <v>401</v>
      </c>
      <c r="C910" s="171" t="s">
        <v>464</v>
      </c>
      <c r="D910" s="172">
        <f>12100000*'Dev Bank Share by Country'!$E$146</f>
        <v>392653.66302029876</v>
      </c>
      <c r="E910" s="173" t="s">
        <v>451</v>
      </c>
      <c r="F910" s="173" t="s">
        <v>452</v>
      </c>
      <c r="G910" s="262" t="s">
        <v>793</v>
      </c>
      <c r="H910" s="173" t="s">
        <v>453</v>
      </c>
      <c r="I910" s="173" t="s">
        <v>284</v>
      </c>
      <c r="J910" s="173" t="s">
        <v>1498</v>
      </c>
      <c r="K910" s="241">
        <v>41471</v>
      </c>
      <c r="L910" s="173" t="s">
        <v>926</v>
      </c>
      <c r="M910" s="262" t="s">
        <v>898</v>
      </c>
      <c r="N910" s="256"/>
      <c r="O910" s="461">
        <f>CompletedProjects[[#This Row],[Power Plant Size (MW) or Share]]*0.593*9057*211.9*10^(-9)</f>
        <v>0</v>
      </c>
      <c r="P910" s="337">
        <f>CompletedProjects[[#This Row],[Annual Emissions (MMTCO2)]]*40</f>
        <v>0</v>
      </c>
      <c r="Q910" s="167"/>
      <c r="R910" s="167" t="s">
        <v>400</v>
      </c>
      <c r="S910" s="167" t="s">
        <v>633</v>
      </c>
      <c r="T910" s="167" t="s">
        <v>537</v>
      </c>
      <c r="U910" s="30"/>
      <c r="V910" s="30"/>
      <c r="W910" s="30"/>
      <c r="X910" s="30"/>
      <c r="Y910" s="30"/>
      <c r="Z910" s="30"/>
    </row>
    <row r="911" spans="1:26" customFormat="1" ht="43">
      <c r="A911" s="167" t="s">
        <v>1253</v>
      </c>
      <c r="B911" s="171" t="s">
        <v>511</v>
      </c>
      <c r="C911" s="171" t="s">
        <v>464</v>
      </c>
      <c r="D911" s="172">
        <f>740000000*'Dev Bank Share by Country'!$G$146</f>
        <v>14717568.00832985</v>
      </c>
      <c r="E911" s="173" t="s">
        <v>418</v>
      </c>
      <c r="F911" s="173" t="s">
        <v>419</v>
      </c>
      <c r="G911" s="262" t="s">
        <v>765</v>
      </c>
      <c r="H911" s="173" t="s">
        <v>144</v>
      </c>
      <c r="I911" s="180" t="s">
        <v>283</v>
      </c>
      <c r="J911" s="183" t="s">
        <v>26</v>
      </c>
      <c r="K911" s="241">
        <v>39520</v>
      </c>
      <c r="L911" s="202" t="s">
        <v>817</v>
      </c>
      <c r="M911" s="262"/>
      <c r="N911" s="256">
        <f>330/19</f>
        <v>17.368421052631579</v>
      </c>
      <c r="O911" s="461">
        <f>CompletedProjects[[#This Row],[Power Plant Size (MW) or Share]]*0.593*9057*211.9*10^(-9)</f>
        <v>1.9766526396157894E-2</v>
      </c>
      <c r="P911" s="337">
        <f>CompletedProjects[[#This Row],[Annual Emissions (MMTCO2)]]*40</f>
        <v>0.79066105584631574</v>
      </c>
      <c r="Q911" s="176"/>
      <c r="R911" s="167" t="s">
        <v>400</v>
      </c>
      <c r="S911" s="167" t="s">
        <v>633</v>
      </c>
      <c r="T911" s="167"/>
      <c r="U911" s="30"/>
      <c r="V911" s="30"/>
      <c r="W911" s="30"/>
      <c r="X911" s="30"/>
      <c r="Y911" s="30"/>
      <c r="Z911" s="30"/>
    </row>
    <row r="912" spans="1:26" customFormat="1" ht="258">
      <c r="A912" s="167" t="s">
        <v>1253</v>
      </c>
      <c r="B912" s="167" t="s">
        <v>401</v>
      </c>
      <c r="C912" s="182" t="s">
        <v>464</v>
      </c>
      <c r="D912" s="172">
        <f>11000000*'Dev Bank Share by Country'!$E$146</f>
        <v>356957.87547299889</v>
      </c>
      <c r="E912" s="173" t="s">
        <v>420</v>
      </c>
      <c r="F912" s="173" t="s">
        <v>421</v>
      </c>
      <c r="G912" s="262" t="s">
        <v>769</v>
      </c>
      <c r="H912" s="173" t="s">
        <v>422</v>
      </c>
      <c r="I912" s="180" t="s">
        <v>283</v>
      </c>
      <c r="J912" s="173" t="s">
        <v>277</v>
      </c>
      <c r="K912" s="241">
        <v>39777</v>
      </c>
      <c r="L912" s="197"/>
      <c r="M912" s="273"/>
      <c r="N912" s="256"/>
      <c r="O912" s="461">
        <f>CompletedProjects[[#This Row],[Power Plant Size (MW) or Share]]*0.593*9057*211.9*10^(-9)</f>
        <v>0</v>
      </c>
      <c r="P912" s="337">
        <f>CompletedProjects[[#This Row],[Annual Emissions (MMTCO2)]]*40</f>
        <v>0</v>
      </c>
      <c r="Q912" s="167"/>
      <c r="R912" s="173" t="s">
        <v>834</v>
      </c>
      <c r="S912" s="167" t="s">
        <v>633</v>
      </c>
      <c r="T912" s="173"/>
      <c r="U912" s="30"/>
      <c r="V912" s="30"/>
      <c r="W912" s="30"/>
      <c r="X912" s="30"/>
      <c r="Y912" s="30"/>
      <c r="Z912" s="30"/>
    </row>
    <row r="913" spans="1:26" customFormat="1" ht="86">
      <c r="A913" s="167" t="s">
        <v>1253</v>
      </c>
      <c r="B913" s="182" t="s">
        <v>511</v>
      </c>
      <c r="C913" s="182" t="s">
        <v>464</v>
      </c>
      <c r="D913" s="172">
        <f>8000000*'Dev Bank Share by Country'!$G$146</f>
        <v>159108.84333329566</v>
      </c>
      <c r="E913" s="173" t="s">
        <v>405</v>
      </c>
      <c r="F913" s="173" t="s">
        <v>406</v>
      </c>
      <c r="G913" s="262" t="s">
        <v>786</v>
      </c>
      <c r="H913" s="173" t="s">
        <v>65</v>
      </c>
      <c r="I913" s="180" t="s">
        <v>283</v>
      </c>
      <c r="J913" s="173" t="s">
        <v>26</v>
      </c>
      <c r="K913" s="241">
        <v>39234</v>
      </c>
      <c r="L913" s="173" t="s">
        <v>815</v>
      </c>
      <c r="M913" s="262" t="s">
        <v>806</v>
      </c>
      <c r="N913" s="256">
        <f>600/19</f>
        <v>31.578947368421051</v>
      </c>
      <c r="O913" s="461">
        <f>CompletedProjects[[#This Row],[Power Plant Size (MW) or Share]]*0.593*9057*211.9*10^(-9)</f>
        <v>3.5939138902105268E-2</v>
      </c>
      <c r="P913" s="337">
        <f>CompletedProjects[[#This Row],[Annual Emissions (MMTCO2)]]*40</f>
        <v>1.4375655560842107</v>
      </c>
      <c r="Q913" s="167"/>
      <c r="R913" s="167" t="s">
        <v>467</v>
      </c>
      <c r="S913" s="167" t="s">
        <v>633</v>
      </c>
      <c r="T913" s="167"/>
      <c r="U913" s="30"/>
      <c r="V913" s="30"/>
      <c r="W913" s="30"/>
      <c r="X913" s="30"/>
      <c r="Y913" s="30"/>
      <c r="Z913" s="30"/>
    </row>
    <row r="914" spans="1:26" customFormat="1" ht="114.7">
      <c r="A914" s="167" t="s">
        <v>1253</v>
      </c>
      <c r="B914" s="182" t="s">
        <v>511</v>
      </c>
      <c r="C914" s="182" t="s">
        <v>464</v>
      </c>
      <c r="D914" s="172">
        <f>275000000*'Dev Bank Share by Country'!$G$146</f>
        <v>5469366.4895820385</v>
      </c>
      <c r="E914" s="173" t="s">
        <v>413</v>
      </c>
      <c r="F914" s="173" t="s">
        <v>413</v>
      </c>
      <c r="G914" s="262" t="s">
        <v>766</v>
      </c>
      <c r="H914" s="173" t="s">
        <v>95</v>
      </c>
      <c r="I914" s="180" t="s">
        <v>283</v>
      </c>
      <c r="J914" s="173" t="s">
        <v>277</v>
      </c>
      <c r="K914" s="241">
        <v>39394</v>
      </c>
      <c r="L914" s="173" t="s">
        <v>917</v>
      </c>
      <c r="M914" s="262"/>
      <c r="N914" s="256">
        <f>600/7/2</f>
        <v>42.857142857142854</v>
      </c>
      <c r="O914" s="461">
        <f>CompletedProjects[[#This Row],[Power Plant Size (MW) or Share]]*0.593*9057*211.9*10^(-9)</f>
        <v>4.8774545652857132E-2</v>
      </c>
      <c r="P914" s="337">
        <f>CompletedProjects[[#This Row],[Annual Emissions (MMTCO2)]]*40</f>
        <v>1.9509818261142853</v>
      </c>
      <c r="Q914" s="167"/>
      <c r="R914" s="167" t="s">
        <v>640</v>
      </c>
      <c r="S914" s="167" t="s">
        <v>465</v>
      </c>
      <c r="T914" s="167"/>
      <c r="U914" s="30"/>
      <c r="V914" s="30"/>
      <c r="W914" s="30"/>
      <c r="X914" s="30"/>
      <c r="Y914" s="30"/>
      <c r="Z914" s="30"/>
    </row>
    <row r="915" spans="1:26" customFormat="1" ht="28.7">
      <c r="A915" s="183" t="s">
        <v>1253</v>
      </c>
      <c r="B915" s="183" t="s">
        <v>509</v>
      </c>
      <c r="C915" s="183" t="s">
        <v>464</v>
      </c>
      <c r="D915" s="172">
        <v>265329.1252416526</v>
      </c>
      <c r="E915" s="173" t="s">
        <v>429</v>
      </c>
      <c r="F915" s="173" t="s">
        <v>430</v>
      </c>
      <c r="G915" s="262" t="s">
        <v>928</v>
      </c>
      <c r="H915" s="173" t="s">
        <v>431</v>
      </c>
      <c r="I915" s="180" t="s">
        <v>283</v>
      </c>
      <c r="J915" s="173" t="s">
        <v>26</v>
      </c>
      <c r="K915" s="241">
        <v>40114</v>
      </c>
      <c r="L915" s="173"/>
      <c r="M915" s="262"/>
      <c r="N915" s="337">
        <f>600/15/2</f>
        <v>20</v>
      </c>
      <c r="O915" s="461">
        <f>CompletedProjects[[#This Row],[Power Plant Size (MW) or Share]]*0.593*9057*211.9*10^(-9)</f>
        <v>2.2761454637999997E-2</v>
      </c>
      <c r="P915" s="337">
        <f>CompletedProjects[[#This Row],[Annual Emissions (MMTCO2)]]*40</f>
        <v>0.91045818551999991</v>
      </c>
      <c r="Q915" s="176"/>
      <c r="R915" s="178" t="s">
        <v>467</v>
      </c>
      <c r="S915" s="167"/>
      <c r="T915" s="178"/>
      <c r="U915" s="30"/>
      <c r="V915" s="30"/>
      <c r="W915" s="30"/>
      <c r="X915" s="30"/>
      <c r="Y915" s="30"/>
      <c r="Z915" s="30"/>
    </row>
    <row r="916" spans="1:26" customFormat="1" ht="28.7">
      <c r="A916" s="167" t="s">
        <v>1253</v>
      </c>
      <c r="B916" s="171" t="s">
        <v>509</v>
      </c>
      <c r="C916" s="171" t="s">
        <v>464</v>
      </c>
      <c r="D916" s="172">
        <v>5361149.0250323201</v>
      </c>
      <c r="E916" s="173" t="s">
        <v>41</v>
      </c>
      <c r="F916" s="173" t="s">
        <v>468</v>
      </c>
      <c r="G916" s="262" t="s">
        <v>927</v>
      </c>
      <c r="H916" s="173" t="s">
        <v>25</v>
      </c>
      <c r="I916" s="180" t="s">
        <v>283</v>
      </c>
      <c r="J916" s="173" t="s">
        <v>26</v>
      </c>
      <c r="K916" s="241">
        <v>40142</v>
      </c>
      <c r="L916" s="173"/>
      <c r="M916" s="262"/>
      <c r="N916" s="337">
        <f>4800/15/2</f>
        <v>160</v>
      </c>
      <c r="O916" s="461">
        <f>CompletedProjects[[#This Row],[Power Plant Size (MW) or Share]]*0.593*9057*211.9*10^(-9)</f>
        <v>0.18209163710399998</v>
      </c>
      <c r="P916" s="337">
        <f>CompletedProjects[[#This Row],[Annual Emissions (MMTCO2)]]*40</f>
        <v>7.2836654841599993</v>
      </c>
      <c r="Q916" s="176"/>
      <c r="R916" s="178" t="s">
        <v>642</v>
      </c>
      <c r="S916" s="167"/>
      <c r="T916" s="178"/>
      <c r="U916" s="30"/>
      <c r="V916" s="30"/>
      <c r="W916" s="30"/>
      <c r="X916" s="30"/>
      <c r="Y916" s="30"/>
      <c r="Z916" s="30"/>
    </row>
    <row r="917" spans="1:26" customFormat="1" ht="43">
      <c r="A917" s="181" t="s">
        <v>1253</v>
      </c>
      <c r="B917" s="171" t="s">
        <v>509</v>
      </c>
      <c r="C917" s="171" t="s">
        <v>464</v>
      </c>
      <c r="D917" s="172">
        <v>168023.16536049481</v>
      </c>
      <c r="E917" s="173" t="s">
        <v>469</v>
      </c>
      <c r="F917" s="173" t="s">
        <v>516</v>
      </c>
      <c r="G917" s="262" t="s">
        <v>929</v>
      </c>
      <c r="H917" s="173" t="s">
        <v>458</v>
      </c>
      <c r="I917" s="180" t="s">
        <v>283</v>
      </c>
      <c r="J917" s="173" t="s">
        <v>26</v>
      </c>
      <c r="K917" s="241">
        <v>40142</v>
      </c>
      <c r="L917" s="173"/>
      <c r="M917" s="262"/>
      <c r="N917" s="150">
        <f>125/15</f>
        <v>8.3333333333333339</v>
      </c>
      <c r="O917" s="461">
        <f>CompletedProjects[[#This Row],[Power Plant Size (MW) or Share]]*0.593*9057*211.9*10^(-9)</f>
        <v>9.4839394324999996E-3</v>
      </c>
      <c r="P917" s="337">
        <f>CompletedProjects[[#This Row],[Annual Emissions (MMTCO2)]]*40</f>
        <v>0.37935757729999997</v>
      </c>
      <c r="Q917" s="203"/>
      <c r="R917" s="167" t="s">
        <v>470</v>
      </c>
      <c r="S917" s="167"/>
      <c r="T917" s="167" t="s">
        <v>537</v>
      </c>
      <c r="U917" s="30"/>
      <c r="V917" s="30"/>
      <c r="W917" s="30"/>
      <c r="X917" s="30"/>
      <c r="Y917" s="30"/>
      <c r="Z917" s="30"/>
    </row>
    <row r="918" spans="1:26" customFormat="1" ht="172">
      <c r="A918" s="167" t="s">
        <v>1253</v>
      </c>
      <c r="B918" s="167" t="s">
        <v>401</v>
      </c>
      <c r="C918" s="182" t="s">
        <v>464</v>
      </c>
      <c r="D918" s="172">
        <f>11250000*'Dev Bank Share by Country'!$E$146</f>
        <v>365070.55446102156</v>
      </c>
      <c r="E918" s="173" t="s">
        <v>270</v>
      </c>
      <c r="F918" s="173" t="s">
        <v>433</v>
      </c>
      <c r="G918" s="262" t="s">
        <v>767</v>
      </c>
      <c r="H918" s="173" t="s">
        <v>201</v>
      </c>
      <c r="I918" s="173" t="s">
        <v>40</v>
      </c>
      <c r="J918" s="173" t="s">
        <v>417</v>
      </c>
      <c r="K918" s="241">
        <v>40673</v>
      </c>
      <c r="L918" s="173" t="s">
        <v>828</v>
      </c>
      <c r="M918" s="273" t="s">
        <v>827</v>
      </c>
      <c r="N918" s="256"/>
      <c r="O918" s="461">
        <f>CompletedProjects[[#This Row],[Power Plant Size (MW) or Share]]*0.593*9057*211.9*10^(-9)</f>
        <v>0</v>
      </c>
      <c r="P918" s="337">
        <f>CompletedProjects[[#This Row],[Annual Emissions (MMTCO2)]]*40</f>
        <v>0</v>
      </c>
      <c r="Q918" s="167"/>
      <c r="R918" s="167" t="s">
        <v>400</v>
      </c>
      <c r="S918" s="167" t="s">
        <v>465</v>
      </c>
      <c r="T918" s="167"/>
      <c r="U918" s="30"/>
      <c r="V918" s="30"/>
      <c r="W918" s="30"/>
      <c r="X918" s="30"/>
      <c r="Y918" s="30"/>
      <c r="Z918" s="30"/>
    </row>
    <row r="919" spans="1:26" customFormat="1" ht="57.35">
      <c r="A919" s="181" t="s">
        <v>1253</v>
      </c>
      <c r="B919" s="182" t="s">
        <v>445</v>
      </c>
      <c r="C919" s="182" t="s">
        <v>464</v>
      </c>
      <c r="D919" s="172">
        <f>450000000*'Dev Bank Share by Country'!$G$146</f>
        <v>8949872.4374978822</v>
      </c>
      <c r="E919" s="183" t="s">
        <v>1395</v>
      </c>
      <c r="F919" s="183" t="s">
        <v>1393</v>
      </c>
      <c r="G919" s="262" t="s">
        <v>1394</v>
      </c>
      <c r="H919" s="183" t="s">
        <v>65</v>
      </c>
      <c r="I919" s="180" t="s">
        <v>283</v>
      </c>
      <c r="J919" s="183" t="s">
        <v>26</v>
      </c>
      <c r="K919" s="242">
        <v>39562</v>
      </c>
      <c r="L919" s="183" t="s">
        <v>1396</v>
      </c>
      <c r="M919" s="262" t="s">
        <v>768</v>
      </c>
      <c r="N919" s="338">
        <f>4000/3/20</f>
        <v>66.666666666666657</v>
      </c>
      <c r="O919" s="461">
        <f>CompletedProjects[[#This Row],[Power Plant Size (MW) or Share]]*0.593*9057*211.9*10^(-9)</f>
        <v>7.5871515459999983E-2</v>
      </c>
      <c r="P919" s="337">
        <f>CompletedProjects[[#This Row],[Annual Emissions (MMTCO2)]]*40</f>
        <v>3.0348606183999993</v>
      </c>
      <c r="Q919" s="176"/>
      <c r="R919" s="178"/>
      <c r="S919" s="167"/>
      <c r="T919" s="178"/>
      <c r="U919" s="30"/>
      <c r="V919" s="30"/>
      <c r="W919" s="30"/>
      <c r="X919" s="30"/>
      <c r="Y919" s="30"/>
      <c r="Z919" s="30"/>
    </row>
    <row r="920" spans="1:26" customFormat="1" ht="57.35">
      <c r="A920" s="167" t="s">
        <v>1253</v>
      </c>
      <c r="B920" s="182" t="s">
        <v>511</v>
      </c>
      <c r="C920" s="182" t="s">
        <v>464</v>
      </c>
      <c r="D920" s="172">
        <f>45500000*'Dev Bank Share by Country'!$G$146</f>
        <v>904931.54645811906</v>
      </c>
      <c r="E920" s="173" t="s">
        <v>407</v>
      </c>
      <c r="F920" s="173" t="s">
        <v>407</v>
      </c>
      <c r="G920" s="262" t="s">
        <v>776</v>
      </c>
      <c r="H920" s="173" t="s">
        <v>408</v>
      </c>
      <c r="I920" s="180" t="s">
        <v>283</v>
      </c>
      <c r="J920" s="173" t="s">
        <v>409</v>
      </c>
      <c r="K920" s="241">
        <v>39254</v>
      </c>
      <c r="L920" s="173" t="s">
        <v>816</v>
      </c>
      <c r="M920" s="262"/>
      <c r="N920" s="256">
        <f>60/19</f>
        <v>3.1578947368421053</v>
      </c>
      <c r="O920" s="461">
        <f>CompletedProjects[[#This Row],[Power Plant Size (MW) or Share]]*0.593*9057*211.9*10^(-9)</f>
        <v>3.5939138902105262E-3</v>
      </c>
      <c r="P920" s="337">
        <f>CompletedProjects[[#This Row],[Annual Emissions (MMTCO2)]]*40</f>
        <v>0.14375655560842104</v>
      </c>
      <c r="Q920" s="167"/>
      <c r="R920" s="167" t="s">
        <v>636</v>
      </c>
      <c r="S920" s="167" t="s">
        <v>633</v>
      </c>
      <c r="T920" s="167"/>
      <c r="U920" s="30"/>
      <c r="V920" s="30"/>
      <c r="W920" s="30"/>
      <c r="X920" s="30"/>
      <c r="Y920" s="30"/>
      <c r="Z920" s="30"/>
    </row>
    <row r="921" spans="1:26" customFormat="1" ht="86">
      <c r="A921" s="167" t="s">
        <v>1253</v>
      </c>
      <c r="B921" s="167" t="s">
        <v>401</v>
      </c>
      <c r="C921" s="182" t="s">
        <v>464</v>
      </c>
      <c r="D921" s="172">
        <f>7500000*'Dev Bank Share by Country'!$E$146</f>
        <v>243380.36964068105</v>
      </c>
      <c r="E921" s="173" t="s">
        <v>456</v>
      </c>
      <c r="F921" s="173" t="s">
        <v>457</v>
      </c>
      <c r="G921" s="262" t="s">
        <v>794</v>
      </c>
      <c r="H921" s="173" t="s">
        <v>458</v>
      </c>
      <c r="I921" s="180" t="s">
        <v>283</v>
      </c>
      <c r="J921" s="173" t="s">
        <v>26</v>
      </c>
      <c r="K921" s="241">
        <v>41627</v>
      </c>
      <c r="L921" s="173" t="s">
        <v>899</v>
      </c>
      <c r="M921" s="262"/>
      <c r="N921" s="256">
        <f>125/19</f>
        <v>6.5789473684210522</v>
      </c>
      <c r="O921" s="461">
        <f>CompletedProjects[[#This Row],[Power Plant Size (MW) or Share]]*0.593*9057*211.9*10^(-9)</f>
        <v>7.487320604605263E-3</v>
      </c>
      <c r="P921" s="337">
        <f>CompletedProjects[[#This Row],[Annual Emissions (MMTCO2)]]*40</f>
        <v>0.29949282418421053</v>
      </c>
      <c r="Q921" s="167"/>
      <c r="R921" s="167" t="s">
        <v>637</v>
      </c>
      <c r="S921" s="167" t="s">
        <v>633</v>
      </c>
      <c r="T921" s="167" t="s">
        <v>537</v>
      </c>
      <c r="U921" s="30"/>
      <c r="V921" s="30"/>
      <c r="W921" s="30"/>
      <c r="X921" s="30"/>
      <c r="Y921" s="30"/>
      <c r="Z921" s="30"/>
    </row>
    <row r="922" spans="1:26" customFormat="1" ht="100.35">
      <c r="A922" s="167" t="s">
        <v>1253</v>
      </c>
      <c r="B922" s="182" t="s">
        <v>511</v>
      </c>
      <c r="C922" s="182" t="s">
        <v>464</v>
      </c>
      <c r="D922" s="172">
        <f>146970000*'Dev Bank Share by Country'!$G$146</f>
        <v>2923028.3380868081</v>
      </c>
      <c r="E922" s="173" t="s">
        <v>459</v>
      </c>
      <c r="F922" s="173" t="s">
        <v>460</v>
      </c>
      <c r="G922" s="262" t="s">
        <v>784</v>
      </c>
      <c r="H922" s="173" t="s">
        <v>239</v>
      </c>
      <c r="I922" s="180" t="s">
        <v>283</v>
      </c>
      <c r="J922" s="173" t="s">
        <v>26</v>
      </c>
      <c r="K922" s="241">
        <v>41701</v>
      </c>
      <c r="L922" s="173" t="s">
        <v>900</v>
      </c>
      <c r="M922" s="262"/>
      <c r="N922" s="256"/>
      <c r="O922" s="461">
        <f>CompletedProjects[[#This Row],[Power Plant Size (MW) or Share]]*0.593*9057*211.9*10^(-9)</f>
        <v>0</v>
      </c>
      <c r="P922" s="337">
        <f>CompletedProjects[[#This Row],[Annual Emissions (MMTCO2)]]*40</f>
        <v>0</v>
      </c>
      <c r="Q922" s="167"/>
      <c r="R922" s="167" t="s">
        <v>400</v>
      </c>
      <c r="S922" s="167" t="s">
        <v>465</v>
      </c>
      <c r="T922" s="167"/>
      <c r="U922" s="30"/>
      <c r="V922" s="30"/>
      <c r="W922" s="30"/>
      <c r="X922" s="30"/>
      <c r="Y922" s="30"/>
      <c r="Z922" s="30"/>
    </row>
    <row r="923" spans="1:26" customFormat="1" ht="129">
      <c r="A923" s="181" t="s">
        <v>1253</v>
      </c>
      <c r="B923" s="182" t="s">
        <v>509</v>
      </c>
      <c r="C923" s="182" t="s">
        <v>464</v>
      </c>
      <c r="D923" s="172">
        <v>404631.34343285923</v>
      </c>
      <c r="E923" s="173" t="s">
        <v>556</v>
      </c>
      <c r="F923" s="173" t="s">
        <v>555</v>
      </c>
      <c r="G923" s="262"/>
      <c r="H923" s="173" t="s">
        <v>554</v>
      </c>
      <c r="I923" s="180" t="s">
        <v>283</v>
      </c>
      <c r="J923" s="173" t="s">
        <v>26</v>
      </c>
      <c r="K923" s="240">
        <v>42064</v>
      </c>
      <c r="L923" s="173" t="s">
        <v>857</v>
      </c>
      <c r="M923" s="262" t="s">
        <v>858</v>
      </c>
      <c r="N923" s="337"/>
      <c r="O923" s="461">
        <f>CompletedProjects[[#This Row],[Power Plant Size (MW) or Share]]*0.593*9057*211.9*10^(-9)</f>
        <v>0</v>
      </c>
      <c r="P923" s="337">
        <f>CompletedProjects[[#This Row],[Annual Emissions (MMTCO2)]]*40</f>
        <v>0</v>
      </c>
      <c r="Q923" s="176"/>
      <c r="R923" s="178" t="s">
        <v>537</v>
      </c>
      <c r="S923" s="167"/>
      <c r="T923" s="178"/>
      <c r="U923" s="30"/>
      <c r="V923" s="30"/>
      <c r="W923" s="30"/>
      <c r="X923" s="30"/>
      <c r="Y923" s="30"/>
      <c r="Z923" s="30"/>
    </row>
    <row r="924" spans="1:26" customFormat="1" ht="215">
      <c r="A924" s="181" t="s">
        <v>1253</v>
      </c>
      <c r="B924" s="182" t="s">
        <v>509</v>
      </c>
      <c r="C924" s="182" t="s">
        <v>464</v>
      </c>
      <c r="D924" s="172">
        <v>2276051.3068098333</v>
      </c>
      <c r="E924" s="173" t="s">
        <v>41</v>
      </c>
      <c r="F924" s="173" t="s">
        <v>553</v>
      </c>
      <c r="G924" s="262" t="s">
        <v>788</v>
      </c>
      <c r="H924" s="173" t="s">
        <v>25</v>
      </c>
      <c r="I924" s="173" t="s">
        <v>284</v>
      </c>
      <c r="J924" s="173" t="s">
        <v>79</v>
      </c>
      <c r="K924" s="240">
        <v>42359</v>
      </c>
      <c r="L924" s="173" t="s">
        <v>1326</v>
      </c>
      <c r="M924" s="262" t="s">
        <v>861</v>
      </c>
      <c r="N924" s="337"/>
      <c r="O924" s="461">
        <f>CompletedProjects[[#This Row],[Power Plant Size (MW) or Share]]*0.593*9057*211.9*10^(-9)</f>
        <v>0</v>
      </c>
      <c r="P924" s="337">
        <f>CompletedProjects[[#This Row],[Annual Emissions (MMTCO2)]]*40</f>
        <v>0</v>
      </c>
      <c r="Q924" s="176"/>
      <c r="R924" s="178"/>
      <c r="S924" s="167"/>
      <c r="T924" s="178"/>
      <c r="U924" s="30"/>
      <c r="V924" s="30"/>
      <c r="W924" s="30"/>
      <c r="X924" s="30"/>
      <c r="Y924" s="30"/>
      <c r="Z924" s="30"/>
    </row>
    <row r="925" spans="1:26" customFormat="1" ht="215">
      <c r="A925" s="167" t="s">
        <v>1253</v>
      </c>
      <c r="B925" s="182" t="s">
        <v>511</v>
      </c>
      <c r="C925" s="182" t="s">
        <v>464</v>
      </c>
      <c r="D925" s="172">
        <f>28000000*'Dev Bank Share by Country'!$G$146</f>
        <v>556880.95166653488</v>
      </c>
      <c r="E925" s="173" t="s">
        <v>446</v>
      </c>
      <c r="F925" s="173" t="s">
        <v>447</v>
      </c>
      <c r="G925" s="262" t="s">
        <v>782</v>
      </c>
      <c r="H925" s="173" t="s">
        <v>201</v>
      </c>
      <c r="I925" s="173" t="s">
        <v>284</v>
      </c>
      <c r="J925" s="173" t="s">
        <v>1498</v>
      </c>
      <c r="K925" s="241">
        <v>41333</v>
      </c>
      <c r="L925" s="173" t="s">
        <v>832</v>
      </c>
      <c r="M925" s="262"/>
      <c r="N925" s="256">
        <f>750/19</f>
        <v>39.473684210526315</v>
      </c>
      <c r="O925" s="461">
        <f>CompletedProjects[[#This Row],[Power Plant Size (MW) or Share]]*0.593*9057*211.9*10^(-9)</f>
        <v>4.4923923627631576E-2</v>
      </c>
      <c r="P925" s="337">
        <f>CompletedProjects[[#This Row],[Annual Emissions (MMTCO2)]]*40</f>
        <v>1.7969569451052632</v>
      </c>
      <c r="Q925" s="167"/>
      <c r="R925" s="167" t="s">
        <v>639</v>
      </c>
      <c r="S925" s="167"/>
      <c r="T925" s="167"/>
      <c r="U925" s="30"/>
      <c r="V925" s="30"/>
      <c r="W925" s="30"/>
      <c r="X925" s="30"/>
      <c r="Y925" s="30"/>
      <c r="Z925" s="30"/>
    </row>
    <row r="926" spans="1:26" customFormat="1" ht="86">
      <c r="A926" s="167" t="s">
        <v>1253</v>
      </c>
      <c r="B926" s="171" t="s">
        <v>511</v>
      </c>
      <c r="C926" s="171" t="s">
        <v>464</v>
      </c>
      <c r="D926" s="172">
        <f>45500000*'Dev Bank Share by Country'!$G$146</f>
        <v>904931.54645811906</v>
      </c>
      <c r="E926" s="173" t="s">
        <v>440</v>
      </c>
      <c r="F926" s="173" t="s">
        <v>441</v>
      </c>
      <c r="G926" s="262" t="s">
        <v>771</v>
      </c>
      <c r="H926" s="173" t="s">
        <v>442</v>
      </c>
      <c r="I926" s="173" t="s">
        <v>40</v>
      </c>
      <c r="J926" s="173" t="s">
        <v>443</v>
      </c>
      <c r="K926" s="241">
        <v>41060</v>
      </c>
      <c r="L926" s="173" t="s">
        <v>924</v>
      </c>
      <c r="M926" s="273"/>
      <c r="N926" s="256"/>
      <c r="O926" s="461">
        <f>CompletedProjects[[#This Row],[Power Plant Size (MW) or Share]]*0.593*9057*211.9*10^(-9)</f>
        <v>0</v>
      </c>
      <c r="P926" s="337">
        <f>CompletedProjects[[#This Row],[Annual Emissions (MMTCO2)]]*40</f>
        <v>0</v>
      </c>
      <c r="Q926" s="167"/>
      <c r="R926" s="167" t="s">
        <v>400</v>
      </c>
      <c r="S926" s="167" t="s">
        <v>465</v>
      </c>
      <c r="T926" s="167"/>
      <c r="U926" s="30"/>
      <c r="V926" s="30"/>
      <c r="W926" s="30"/>
      <c r="X926" s="30"/>
      <c r="Y926" s="30"/>
      <c r="Z926" s="30"/>
    </row>
    <row r="927" spans="1:26" customFormat="1" ht="215">
      <c r="A927" s="167" t="s">
        <v>1253</v>
      </c>
      <c r="B927" s="167" t="s">
        <v>401</v>
      </c>
      <c r="C927" s="182" t="s">
        <v>464</v>
      </c>
      <c r="D927" s="172">
        <f>200000000*'Dev Bank Share by Country'!$E$146</f>
        <v>6490143.1904181615</v>
      </c>
      <c r="E927" s="173" t="s">
        <v>461</v>
      </c>
      <c r="F927" s="173" t="s">
        <v>462</v>
      </c>
      <c r="G927" s="262" t="s">
        <v>795</v>
      </c>
      <c r="H927" s="173" t="s">
        <v>442</v>
      </c>
      <c r="I927" s="173" t="s">
        <v>284</v>
      </c>
      <c r="J927" s="173" t="s">
        <v>1498</v>
      </c>
      <c r="K927" s="241">
        <v>41760</v>
      </c>
      <c r="L927" s="173" t="s">
        <v>831</v>
      </c>
      <c r="M927" s="262" t="s">
        <v>830</v>
      </c>
      <c r="N927" s="256"/>
      <c r="O927" s="461">
        <f>CompletedProjects[[#This Row],[Power Plant Size (MW) or Share]]*0.593*9057*211.9*10^(-9)</f>
        <v>0</v>
      </c>
      <c r="P927" s="337">
        <f>CompletedProjects[[#This Row],[Annual Emissions (MMTCO2)]]*40</f>
        <v>0</v>
      </c>
      <c r="Q927" s="167"/>
      <c r="R927" s="167" t="s">
        <v>400</v>
      </c>
      <c r="S927" s="167" t="s">
        <v>465</v>
      </c>
      <c r="T927" s="167"/>
      <c r="U927" s="30"/>
      <c r="V927" s="30"/>
      <c r="W927" s="30"/>
      <c r="X927" s="30"/>
      <c r="Y927" s="30"/>
      <c r="Z927" s="30"/>
    </row>
    <row r="928" spans="1:26" customFormat="1" ht="114.7">
      <c r="A928" s="167" t="s">
        <v>1253</v>
      </c>
      <c r="B928" s="167" t="s">
        <v>401</v>
      </c>
      <c r="C928" s="171" t="s">
        <v>464</v>
      </c>
      <c r="D928" s="172">
        <f>280000*'Dev Bank Share by Country'!$E$146</f>
        <v>9086.2004665854256</v>
      </c>
      <c r="E928" s="173" t="s">
        <v>437</v>
      </c>
      <c r="F928" s="173" t="s">
        <v>438</v>
      </c>
      <c r="G928" s="262" t="s">
        <v>790</v>
      </c>
      <c r="H928" s="173" t="s">
        <v>439</v>
      </c>
      <c r="I928" s="173" t="s">
        <v>284</v>
      </c>
      <c r="J928" s="173" t="s">
        <v>1498</v>
      </c>
      <c r="K928" s="241">
        <v>41039</v>
      </c>
      <c r="L928" s="173" t="s">
        <v>897</v>
      </c>
      <c r="M928" s="273" t="s">
        <v>780</v>
      </c>
      <c r="N928" s="256"/>
      <c r="O928" s="461">
        <f>CompletedProjects[[#This Row],[Power Plant Size (MW) or Share]]*0.593*9057*211.9*10^(-9)</f>
        <v>0</v>
      </c>
      <c r="P928" s="337">
        <f>CompletedProjects[[#This Row],[Annual Emissions (MMTCO2)]]*40</f>
        <v>0</v>
      </c>
      <c r="Q928" s="167"/>
      <c r="R928" s="167" t="s">
        <v>400</v>
      </c>
      <c r="S928" s="167" t="s">
        <v>465</v>
      </c>
      <c r="T928" s="167"/>
      <c r="U928" s="30"/>
      <c r="V928" s="30"/>
      <c r="W928" s="30"/>
      <c r="X928" s="30"/>
      <c r="Y928" s="30"/>
      <c r="Z928" s="30"/>
    </row>
    <row r="929" spans="1:26" customFormat="1" ht="172">
      <c r="A929" s="167" t="s">
        <v>1253</v>
      </c>
      <c r="B929" s="167" t="s">
        <v>513</v>
      </c>
      <c r="C929" s="167" t="s">
        <v>464</v>
      </c>
      <c r="D929" s="172">
        <f>57000000*'Dev Bank Share by Country'!$C$146</f>
        <v>1812600</v>
      </c>
      <c r="E929" s="173" t="s">
        <v>415</v>
      </c>
      <c r="F929" s="173" t="s">
        <v>416</v>
      </c>
      <c r="G929" s="262" t="s">
        <v>772</v>
      </c>
      <c r="H929" s="173" t="s">
        <v>368</v>
      </c>
      <c r="I929" s="173" t="s">
        <v>40</v>
      </c>
      <c r="J929" s="173" t="s">
        <v>417</v>
      </c>
      <c r="K929" s="241">
        <v>39436</v>
      </c>
      <c r="L929" s="173" t="s">
        <v>918</v>
      </c>
      <c r="M929" s="273" t="s">
        <v>895</v>
      </c>
      <c r="N929" s="256"/>
      <c r="O929" s="461">
        <f>CompletedProjects[[#This Row],[Power Plant Size (MW) or Share]]*0.593*9057*211.9*10^(-9)</f>
        <v>0</v>
      </c>
      <c r="P929" s="337">
        <f>CompletedProjects[[#This Row],[Annual Emissions (MMTCO2)]]*40</f>
        <v>0</v>
      </c>
      <c r="Q929" s="167"/>
      <c r="R929" s="167" t="s">
        <v>400</v>
      </c>
      <c r="S929" s="167" t="s">
        <v>633</v>
      </c>
      <c r="T929" s="167"/>
      <c r="U929" s="30"/>
      <c r="V929" s="30"/>
      <c r="W929" s="30"/>
      <c r="X929" s="30"/>
      <c r="Y929" s="30"/>
      <c r="Z929" s="30"/>
    </row>
    <row r="930" spans="1:26" customFormat="1" ht="172">
      <c r="A930" s="167" t="s">
        <v>25</v>
      </c>
      <c r="B930" s="182" t="s">
        <v>511</v>
      </c>
      <c r="C930" s="182" t="s">
        <v>464</v>
      </c>
      <c r="D930" s="172">
        <f>500000000*'Dev Bank Share by Country'!$G$156</f>
        <v>3393743.1829951997</v>
      </c>
      <c r="E930" s="183" t="s">
        <v>454</v>
      </c>
      <c r="F930" s="183" t="s">
        <v>514</v>
      </c>
      <c r="G930" s="262" t="s">
        <v>783</v>
      </c>
      <c r="H930" s="183" t="s">
        <v>515</v>
      </c>
      <c r="I930" s="180" t="s">
        <v>283</v>
      </c>
      <c r="J930" s="183" t="s">
        <v>26</v>
      </c>
      <c r="K930" s="242">
        <v>41760</v>
      </c>
      <c r="L930" s="183" t="s">
        <v>833</v>
      </c>
      <c r="M930" s="262"/>
      <c r="N930" s="337">
        <f>(270+450)/19</f>
        <v>37.89473684210526</v>
      </c>
      <c r="O930" s="461">
        <f>CompletedProjects[[#This Row],[Power Plant Size (MW) or Share]]*0.593*9057*211.9*10^(-9)</f>
        <v>4.3126966682526316E-2</v>
      </c>
      <c r="P930" s="337">
        <f>CompletedProjects[[#This Row],[Annual Emissions (MMTCO2)]]*40</f>
        <v>1.7250786673010525</v>
      </c>
      <c r="Q930" s="176"/>
      <c r="R930" s="178" t="s">
        <v>639</v>
      </c>
      <c r="S930" s="167" t="s">
        <v>465</v>
      </c>
      <c r="T930" s="178"/>
      <c r="U930" s="30"/>
      <c r="V930" s="30"/>
      <c r="W930" s="30"/>
      <c r="X930" s="30"/>
      <c r="Y930" s="30"/>
      <c r="Z930" s="30"/>
    </row>
    <row r="931" spans="1:26" customFormat="1" ht="172">
      <c r="A931" s="167" t="s">
        <v>25</v>
      </c>
      <c r="B931" s="167" t="s">
        <v>401</v>
      </c>
      <c r="C931" s="182" t="s">
        <v>464</v>
      </c>
      <c r="D931" s="172">
        <f>1120000*'Dev Bank Share by Country'!$E$156</f>
        <v>3113.5799192189629</v>
      </c>
      <c r="E931" s="173" t="s">
        <v>402</v>
      </c>
      <c r="F931" s="173" t="s">
        <v>403</v>
      </c>
      <c r="G931" s="262" t="s">
        <v>785</v>
      </c>
      <c r="H931" s="173" t="s">
        <v>404</v>
      </c>
      <c r="I931" s="173" t="s">
        <v>284</v>
      </c>
      <c r="J931" s="173" t="s">
        <v>1498</v>
      </c>
      <c r="K931" s="241">
        <v>39224</v>
      </c>
      <c r="L931" s="173" t="s">
        <v>826</v>
      </c>
      <c r="M931" s="262" t="s">
        <v>785</v>
      </c>
      <c r="N931" s="256"/>
      <c r="O931" s="461">
        <f>CompletedProjects[[#This Row],[Power Plant Size (MW) or Share]]*0.593*9057*211.9*10^(-9)</f>
        <v>0</v>
      </c>
      <c r="P931" s="337">
        <f>CompletedProjects[[#This Row],[Annual Emissions (MMTCO2)]]*40</f>
        <v>0</v>
      </c>
      <c r="Q931" s="167"/>
      <c r="R931" s="167" t="s">
        <v>400</v>
      </c>
      <c r="S931" s="167" t="s">
        <v>633</v>
      </c>
      <c r="T931" s="167" t="s">
        <v>537</v>
      </c>
      <c r="U931" s="30"/>
      <c r="V931" s="30"/>
      <c r="W931" s="30"/>
      <c r="X931" s="30"/>
      <c r="Y931" s="30"/>
      <c r="Z931" s="30"/>
    </row>
    <row r="932" spans="1:26" customFormat="1" ht="172">
      <c r="A932" s="167" t="s">
        <v>25</v>
      </c>
      <c r="B932" s="167" t="s">
        <v>401</v>
      </c>
      <c r="C932" s="182" t="s">
        <v>464</v>
      </c>
      <c r="D932" s="172">
        <f>4200000*'Dev Bank Share by Country'!$E$156</f>
        <v>11675.92469707111</v>
      </c>
      <c r="E932" s="173" t="s">
        <v>448</v>
      </c>
      <c r="F932" s="173" t="s">
        <v>449</v>
      </c>
      <c r="G932" s="262" t="s">
        <v>792</v>
      </c>
      <c r="H932" s="173" t="s">
        <v>450</v>
      </c>
      <c r="I932" s="173" t="s">
        <v>40</v>
      </c>
      <c r="J932" s="173" t="s">
        <v>1502</v>
      </c>
      <c r="K932" s="241">
        <v>41404</v>
      </c>
      <c r="L932" s="173" t="s">
        <v>925</v>
      </c>
      <c r="M932" s="262"/>
      <c r="N932" s="256"/>
      <c r="O932" s="461">
        <f>CompletedProjects[[#This Row],[Power Plant Size (MW) or Share]]*0.593*9057*211.9*10^(-9)</f>
        <v>0</v>
      </c>
      <c r="P932" s="337">
        <f>CompletedProjects[[#This Row],[Annual Emissions (MMTCO2)]]*40</f>
        <v>0</v>
      </c>
      <c r="Q932" s="167"/>
      <c r="R932" s="167" t="s">
        <v>400</v>
      </c>
      <c r="S932" s="167" t="s">
        <v>465</v>
      </c>
      <c r="T932" s="167"/>
      <c r="U932" s="30"/>
      <c r="V932" s="30"/>
      <c r="W932" s="30"/>
      <c r="X932" s="30"/>
      <c r="Y932" s="30"/>
      <c r="Z932" s="30"/>
    </row>
    <row r="933" spans="1:26" customFormat="1" ht="157.69999999999999">
      <c r="A933" s="167" t="s">
        <v>25</v>
      </c>
      <c r="B933" s="167" t="s">
        <v>513</v>
      </c>
      <c r="C933" s="182" t="s">
        <v>464</v>
      </c>
      <c r="D933" s="172">
        <f>180000000*'Dev Bank Share by Country'!$C$156</f>
        <v>1476000.0000000002</v>
      </c>
      <c r="E933" s="173" t="s">
        <v>425</v>
      </c>
      <c r="F933" s="173" t="s">
        <v>426</v>
      </c>
      <c r="G933" s="262" t="s">
        <v>770</v>
      </c>
      <c r="H933" s="173" t="s">
        <v>65</v>
      </c>
      <c r="I933" s="180" t="s">
        <v>283</v>
      </c>
      <c r="J933" s="173" t="s">
        <v>277</v>
      </c>
      <c r="K933" s="241">
        <v>39982</v>
      </c>
      <c r="L933" s="173" t="s">
        <v>921</v>
      </c>
      <c r="M933" s="273"/>
      <c r="N933" s="256">
        <f>420/19</f>
        <v>22.105263157894736</v>
      </c>
      <c r="O933" s="461">
        <f>CompletedProjects[[#This Row],[Power Plant Size (MW) or Share]]*0.593*9057*211.9*10^(-9)</f>
        <v>2.5157397231473682E-2</v>
      </c>
      <c r="P933" s="337">
        <f>CompletedProjects[[#This Row],[Annual Emissions (MMTCO2)]]*40</f>
        <v>1.0062958892589473</v>
      </c>
      <c r="Q933" s="167"/>
      <c r="R933" s="167" t="s">
        <v>638</v>
      </c>
      <c r="S933" s="167" t="s">
        <v>466</v>
      </c>
      <c r="T933" s="167"/>
      <c r="U933" s="30"/>
      <c r="V933" s="30"/>
      <c r="W933" s="30"/>
      <c r="X933" s="30"/>
      <c r="Y933" s="30"/>
      <c r="Z933" s="30"/>
    </row>
    <row r="934" spans="1:26" customFormat="1" ht="100.35">
      <c r="A934" s="167" t="s">
        <v>25</v>
      </c>
      <c r="B934" s="167" t="s">
        <v>511</v>
      </c>
      <c r="C934" s="167" t="s">
        <v>464</v>
      </c>
      <c r="D934" s="172">
        <f>25000000*'Dev Bank Share by Country'!$G$156</f>
        <v>169687.15914975997</v>
      </c>
      <c r="E934" s="173" t="s">
        <v>398</v>
      </c>
      <c r="F934" s="173" t="s">
        <v>398</v>
      </c>
      <c r="G934" s="262" t="s">
        <v>787</v>
      </c>
      <c r="H934" s="173" t="s">
        <v>399</v>
      </c>
      <c r="I934" s="180" t="s">
        <v>283</v>
      </c>
      <c r="J934" s="173" t="s">
        <v>26</v>
      </c>
      <c r="K934" s="241">
        <v>39204</v>
      </c>
      <c r="L934" s="173" t="s">
        <v>915</v>
      </c>
      <c r="M934" s="262"/>
      <c r="N934" s="256">
        <f>30/20</f>
        <v>1.5</v>
      </c>
      <c r="O934" s="461">
        <f>CompletedProjects[[#This Row],[Power Plant Size (MW) or Share]]*0.593*9057*211.9*10^(-9)</f>
        <v>1.7071090978499999E-3</v>
      </c>
      <c r="P934" s="337">
        <f>CompletedProjects[[#This Row],[Annual Emissions (MMTCO2)]]*40</f>
        <v>6.8284363914000001E-2</v>
      </c>
      <c r="Q934" s="176"/>
      <c r="R934" s="167" t="s">
        <v>635</v>
      </c>
      <c r="S934" s="167" t="s">
        <v>465</v>
      </c>
      <c r="T934" s="167"/>
      <c r="U934" s="30"/>
      <c r="V934" s="30"/>
      <c r="W934" s="30"/>
      <c r="X934" s="30"/>
      <c r="Y934" s="30"/>
      <c r="Z934" s="30"/>
    </row>
    <row r="935" spans="1:26" customFormat="1" ht="229.35">
      <c r="A935" s="167" t="s">
        <v>25</v>
      </c>
      <c r="B935" s="167" t="s">
        <v>513</v>
      </c>
      <c r="C935" s="167" t="s">
        <v>464</v>
      </c>
      <c r="D935" s="172">
        <f>180000000*'Dev Bank Share by Country'!$C$156</f>
        <v>1476000.0000000002</v>
      </c>
      <c r="E935" s="173" t="s">
        <v>425</v>
      </c>
      <c r="F935" s="173" t="s">
        <v>427</v>
      </c>
      <c r="G935" s="262" t="s">
        <v>778</v>
      </c>
      <c r="H935" s="173" t="s">
        <v>65</v>
      </c>
      <c r="I935" s="173" t="s">
        <v>1507</v>
      </c>
      <c r="J935" s="173" t="s">
        <v>428</v>
      </c>
      <c r="K935" s="241">
        <v>40078</v>
      </c>
      <c r="L935" s="173" t="s">
        <v>824</v>
      </c>
      <c r="M935" s="262"/>
      <c r="N935" s="256"/>
      <c r="O935" s="461">
        <f>CompletedProjects[[#This Row],[Power Plant Size (MW) or Share]]*0.593*9057*211.9*10^(-9)</f>
        <v>0</v>
      </c>
      <c r="P935" s="337">
        <f>CompletedProjects[[#This Row],[Annual Emissions (MMTCO2)]]*40</f>
        <v>0</v>
      </c>
      <c r="Q935" s="167"/>
      <c r="R935" s="167" t="s">
        <v>400</v>
      </c>
      <c r="S935" s="167" t="s">
        <v>465</v>
      </c>
      <c r="T935" s="167"/>
      <c r="U935" s="30"/>
      <c r="V935" s="30"/>
      <c r="W935" s="30"/>
      <c r="X935" s="30"/>
      <c r="Y935" s="30"/>
      <c r="Z935" s="30"/>
    </row>
    <row r="936" spans="1:26" customFormat="1" ht="100.35">
      <c r="A936" s="167" t="s">
        <v>25</v>
      </c>
      <c r="B936" s="182" t="s">
        <v>511</v>
      </c>
      <c r="C936" s="182" t="s">
        <v>464</v>
      </c>
      <c r="D936" s="172">
        <f>46500000*'Dev Bank Share by Country'!$G$156</f>
        <v>315618.11601855356</v>
      </c>
      <c r="E936" s="173" t="s">
        <v>423</v>
      </c>
      <c r="F936" s="173" t="s">
        <v>424</v>
      </c>
      <c r="G936" s="262" t="s">
        <v>774</v>
      </c>
      <c r="H936" s="173" t="s">
        <v>65</v>
      </c>
      <c r="I936" s="173" t="s">
        <v>284</v>
      </c>
      <c r="J936" s="173" t="s">
        <v>79</v>
      </c>
      <c r="K936" s="241">
        <v>39898</v>
      </c>
      <c r="L936" s="173" t="s">
        <v>920</v>
      </c>
      <c r="M936" s="273"/>
      <c r="N936" s="256"/>
      <c r="O936" s="461">
        <f>CompletedProjects[[#This Row],[Power Plant Size (MW) or Share]]*0.593*9057*211.9*10^(-9)</f>
        <v>0</v>
      </c>
      <c r="P936" s="337">
        <f>CompletedProjects[[#This Row],[Annual Emissions (MMTCO2)]]*40</f>
        <v>0</v>
      </c>
      <c r="Q936" s="167"/>
      <c r="R936" s="167" t="s">
        <v>400</v>
      </c>
      <c r="S936" s="167" t="s">
        <v>465</v>
      </c>
      <c r="T936" s="167"/>
      <c r="U936" s="30"/>
      <c r="V936" s="30"/>
      <c r="W936" s="30"/>
      <c r="X936" s="30"/>
      <c r="Y936" s="30"/>
      <c r="Z936" s="30"/>
    </row>
    <row r="937" spans="1:26" s="146" customFormat="1" ht="57.35">
      <c r="A937" s="167" t="s">
        <v>25</v>
      </c>
      <c r="B937" s="182" t="s">
        <v>1492</v>
      </c>
      <c r="C937" s="182" t="s">
        <v>337</v>
      </c>
      <c r="D937" s="321">
        <v>75000000</v>
      </c>
      <c r="E937" s="258" t="s">
        <v>1560</v>
      </c>
      <c r="F937" s="197" t="s">
        <v>1422</v>
      </c>
      <c r="G937" s="264" t="s">
        <v>1420</v>
      </c>
      <c r="H937" s="183" t="s">
        <v>1086</v>
      </c>
      <c r="I937" s="180" t="s">
        <v>283</v>
      </c>
      <c r="J937" s="183" t="s">
        <v>26</v>
      </c>
      <c r="K937" s="242">
        <v>42213</v>
      </c>
      <c r="L937" s="183" t="s">
        <v>1490</v>
      </c>
      <c r="M937" s="273"/>
      <c r="N937" s="337">
        <f>300/5</f>
        <v>60</v>
      </c>
      <c r="O937" s="461">
        <f>CompletedProjects[[#This Row],[Power Plant Size (MW) or Share]]*0.593*9057*211.9*10^(-9)</f>
        <v>6.8284363914000015E-2</v>
      </c>
      <c r="P937" s="337">
        <f>CompletedProjects[[#This Row],[Annual Emissions (MMTCO2)]]*40</f>
        <v>2.7313745565600005</v>
      </c>
      <c r="Q937" s="176"/>
      <c r="R937" s="178" t="s">
        <v>1491</v>
      </c>
      <c r="S937" s="167"/>
      <c r="T937" s="178"/>
      <c r="U937" s="145"/>
      <c r="V937" s="145"/>
      <c r="W937" s="145"/>
      <c r="X937" s="145"/>
      <c r="Y937" s="145"/>
      <c r="Z937" s="145"/>
    </row>
    <row r="938" spans="1:26" customFormat="1" ht="57.35">
      <c r="A938" s="167" t="s">
        <v>25</v>
      </c>
      <c r="B938" s="182" t="s">
        <v>1493</v>
      </c>
      <c r="C938" s="182" t="s">
        <v>337</v>
      </c>
      <c r="D938" s="321">
        <v>75000000</v>
      </c>
      <c r="E938" s="258" t="s">
        <v>1560</v>
      </c>
      <c r="F938" s="197" t="s">
        <v>1422</v>
      </c>
      <c r="G938" s="264" t="s">
        <v>1420</v>
      </c>
      <c r="H938" s="183" t="s">
        <v>1086</v>
      </c>
      <c r="I938" s="180" t="s">
        <v>283</v>
      </c>
      <c r="J938" s="183" t="s">
        <v>26</v>
      </c>
      <c r="K938" s="242">
        <v>42213</v>
      </c>
      <c r="L938" s="183" t="s">
        <v>1490</v>
      </c>
      <c r="M938" s="273"/>
      <c r="N938" s="337">
        <f>300/5</f>
        <v>60</v>
      </c>
      <c r="O938" s="461">
        <f>CompletedProjects[[#This Row],[Power Plant Size (MW) or Share]]*0.593*9057*211.9*10^(-9)</f>
        <v>6.8284363914000015E-2</v>
      </c>
      <c r="P938" s="337">
        <f>CompletedProjects[[#This Row],[Annual Emissions (MMTCO2)]]*40</f>
        <v>2.7313745565600005</v>
      </c>
      <c r="Q938" s="176"/>
      <c r="R938" s="178" t="s">
        <v>1491</v>
      </c>
      <c r="S938" s="167"/>
      <c r="T938" s="178"/>
      <c r="U938" s="30"/>
      <c r="V938" s="30"/>
      <c r="W938" s="30"/>
      <c r="X938" s="30"/>
      <c r="Y938" s="30"/>
      <c r="Z938" s="30"/>
    </row>
    <row r="939" spans="1:26" customFormat="1" ht="272.35000000000002">
      <c r="A939" s="167" t="s">
        <v>25</v>
      </c>
      <c r="B939" s="167" t="s">
        <v>513</v>
      </c>
      <c r="C939" s="171" t="s">
        <v>464</v>
      </c>
      <c r="D939" s="172">
        <f>29600000*'Dev Bank Share by Country'!$C$156</f>
        <v>242720.00000000003</v>
      </c>
      <c r="E939" s="173" t="s">
        <v>266</v>
      </c>
      <c r="F939" s="173" t="s">
        <v>444</v>
      </c>
      <c r="G939" s="262" t="s">
        <v>781</v>
      </c>
      <c r="H939" s="173" t="s">
        <v>85</v>
      </c>
      <c r="I939" s="173" t="s">
        <v>284</v>
      </c>
      <c r="J939" s="173" t="s">
        <v>1498</v>
      </c>
      <c r="K939" s="241">
        <v>41163</v>
      </c>
      <c r="L939" s="173" t="s">
        <v>825</v>
      </c>
      <c r="M939" s="262"/>
      <c r="N939" s="256"/>
      <c r="O939" s="461">
        <f>CompletedProjects[[#This Row],[Power Plant Size (MW) or Share]]*0.593*9057*211.9*10^(-9)</f>
        <v>0</v>
      </c>
      <c r="P939" s="337">
        <f>CompletedProjects[[#This Row],[Annual Emissions (MMTCO2)]]*40</f>
        <v>0</v>
      </c>
      <c r="Q939" s="167"/>
      <c r="R939" s="167" t="s">
        <v>400</v>
      </c>
      <c r="S939" s="167" t="s">
        <v>465</v>
      </c>
      <c r="T939" s="167"/>
      <c r="U939" s="30"/>
      <c r="V939" s="30"/>
      <c r="W939" s="30"/>
      <c r="X939" s="30"/>
      <c r="Y939" s="30"/>
      <c r="Z939" s="30"/>
    </row>
    <row r="940" spans="1:26" customFormat="1" ht="157.69999999999999">
      <c r="A940" s="167" t="s">
        <v>25</v>
      </c>
      <c r="B940" s="167" t="s">
        <v>401</v>
      </c>
      <c r="C940" s="182" t="s">
        <v>464</v>
      </c>
      <c r="D940" s="172">
        <f>2000000*'Dev Bank Share by Country'!$E$156</f>
        <v>5559.9641414624339</v>
      </c>
      <c r="E940" s="173" t="s">
        <v>410</v>
      </c>
      <c r="F940" s="173" t="s">
        <v>411</v>
      </c>
      <c r="G940" s="262" t="s">
        <v>777</v>
      </c>
      <c r="H940" s="173" t="s">
        <v>412</v>
      </c>
      <c r="I940" s="173" t="s">
        <v>284</v>
      </c>
      <c r="J940" s="173" t="s">
        <v>1498</v>
      </c>
      <c r="K940" s="241">
        <v>39261</v>
      </c>
      <c r="L940" s="173" t="s">
        <v>916</v>
      </c>
      <c r="M940" s="262"/>
      <c r="N940" s="256"/>
      <c r="O940" s="461">
        <f>CompletedProjects[[#This Row],[Power Plant Size (MW) or Share]]*0.593*9057*211.9*10^(-9)</f>
        <v>0</v>
      </c>
      <c r="P940" s="337">
        <f>CompletedProjects[[#This Row],[Annual Emissions (MMTCO2)]]*40</f>
        <v>0</v>
      </c>
      <c r="Q940" s="167"/>
      <c r="R940" s="167" t="s">
        <v>400</v>
      </c>
      <c r="S940" s="167" t="s">
        <v>633</v>
      </c>
      <c r="T940" s="167"/>
      <c r="U940" s="30"/>
      <c r="V940" s="30"/>
      <c r="W940" s="30"/>
      <c r="X940" s="30"/>
      <c r="Y940" s="30"/>
      <c r="Z940" s="30"/>
    </row>
    <row r="941" spans="1:26" customFormat="1" ht="114.7">
      <c r="A941" s="167" t="s">
        <v>25</v>
      </c>
      <c r="B941" s="167" t="s">
        <v>513</v>
      </c>
      <c r="C941" s="182" t="s">
        <v>464</v>
      </c>
      <c r="D941" s="172">
        <f>180000000*'Dev Bank Share by Country'!$C$156</f>
        <v>1476000.0000000002</v>
      </c>
      <c r="E941" s="173" t="s">
        <v>41</v>
      </c>
      <c r="F941" s="173" t="s">
        <v>432</v>
      </c>
      <c r="G941" s="262" t="s">
        <v>773</v>
      </c>
      <c r="H941" s="173" t="s">
        <v>25</v>
      </c>
      <c r="I941" s="180" t="s">
        <v>283</v>
      </c>
      <c r="J941" s="173" t="s">
        <v>26</v>
      </c>
      <c r="K941" s="241">
        <v>40276</v>
      </c>
      <c r="L941" s="173" t="s">
        <v>923</v>
      </c>
      <c r="M941" s="273"/>
      <c r="N941" s="337">
        <f>4800/19/2</f>
        <v>126.31578947368421</v>
      </c>
      <c r="O941" s="461">
        <f>CompletedProjects[[#This Row],[Power Plant Size (MW) or Share]]*0.593*9057*211.9*10^(-9)</f>
        <v>0.14375655560842107</v>
      </c>
      <c r="P941" s="337">
        <f>CompletedProjects[[#This Row],[Annual Emissions (MMTCO2)]]*40</f>
        <v>5.7502622243368426</v>
      </c>
      <c r="Q941" s="167"/>
      <c r="R941" s="178" t="s">
        <v>643</v>
      </c>
      <c r="S941" s="167" t="s">
        <v>465</v>
      </c>
      <c r="T941" s="178"/>
      <c r="U941" s="30"/>
      <c r="V941" s="30"/>
      <c r="W941" s="30"/>
      <c r="X941" s="30"/>
      <c r="Y941" s="30"/>
      <c r="Z941" s="30"/>
    </row>
    <row r="942" spans="1:26" customFormat="1" ht="100.35">
      <c r="A942" s="167" t="s">
        <v>25</v>
      </c>
      <c r="B942" s="167" t="s">
        <v>513</v>
      </c>
      <c r="C942" s="167" t="s">
        <v>464</v>
      </c>
      <c r="D942" s="172">
        <f>379060000*'Dev Bank Share by Country'!$C$156</f>
        <v>3108292.0000000005</v>
      </c>
      <c r="E942" s="173" t="s">
        <v>429</v>
      </c>
      <c r="F942" s="173" t="s">
        <v>430</v>
      </c>
      <c r="G942" s="262" t="s">
        <v>779</v>
      </c>
      <c r="H942" s="173" t="s">
        <v>431</v>
      </c>
      <c r="I942" s="180" t="s">
        <v>283</v>
      </c>
      <c r="J942" s="173" t="s">
        <v>26</v>
      </c>
      <c r="K942" s="241">
        <v>40115</v>
      </c>
      <c r="L942" s="173" t="s">
        <v>922</v>
      </c>
      <c r="M942" s="262"/>
      <c r="N942" s="337">
        <f>600/19/2</f>
        <v>15.789473684210526</v>
      </c>
      <c r="O942" s="461">
        <f>CompletedProjects[[#This Row],[Power Plant Size (MW) or Share]]*0.593*9057*211.9*10^(-9)</f>
        <v>1.7969569451052634E-2</v>
      </c>
      <c r="P942" s="337">
        <f>CompletedProjects[[#This Row],[Annual Emissions (MMTCO2)]]*40</f>
        <v>0.71878277804210533</v>
      </c>
      <c r="Q942" s="167"/>
      <c r="R942" s="178" t="s">
        <v>640</v>
      </c>
      <c r="S942" s="167" t="s">
        <v>633</v>
      </c>
      <c r="T942" s="178"/>
      <c r="U942" s="30"/>
      <c r="V942" s="30"/>
      <c r="W942" s="30"/>
      <c r="X942" s="30"/>
      <c r="Y942" s="30"/>
      <c r="Z942" s="30"/>
    </row>
    <row r="943" spans="1:26" customFormat="1" ht="172">
      <c r="A943" s="167" t="s">
        <v>25</v>
      </c>
      <c r="B943" s="167" t="s">
        <v>401</v>
      </c>
      <c r="C943" s="171" t="s">
        <v>464</v>
      </c>
      <c r="D943" s="172">
        <f>21000000*'Dev Bank Share by Country'!$E$156</f>
        <v>58379.623485355551</v>
      </c>
      <c r="E943" s="173" t="s">
        <v>451</v>
      </c>
      <c r="F943" s="173" t="s">
        <v>452</v>
      </c>
      <c r="G943" s="262" t="s">
        <v>793</v>
      </c>
      <c r="H943" s="173" t="s">
        <v>453</v>
      </c>
      <c r="I943" s="173" t="s">
        <v>284</v>
      </c>
      <c r="J943" s="173" t="s">
        <v>1498</v>
      </c>
      <c r="K943" s="241">
        <v>41471</v>
      </c>
      <c r="L943" s="173" t="s">
        <v>926</v>
      </c>
      <c r="M943" s="262" t="s">
        <v>898</v>
      </c>
      <c r="N943" s="256"/>
      <c r="O943" s="461">
        <f>CompletedProjects[[#This Row],[Power Plant Size (MW) or Share]]*0.593*9057*211.9*10^(-9)</f>
        <v>0</v>
      </c>
      <c r="P943" s="337">
        <f>CompletedProjects[[#This Row],[Annual Emissions (MMTCO2)]]*40</f>
        <v>0</v>
      </c>
      <c r="Q943" s="167"/>
      <c r="R943" s="167" t="s">
        <v>400</v>
      </c>
      <c r="S943" s="167" t="s">
        <v>633</v>
      </c>
      <c r="T943" s="167" t="s">
        <v>537</v>
      </c>
      <c r="U943" s="30"/>
      <c r="V943" s="30"/>
      <c r="W943" s="30"/>
      <c r="X943" s="30"/>
      <c r="Y943" s="30"/>
      <c r="Z943" s="30"/>
    </row>
    <row r="944" spans="1:26" customFormat="1" ht="172">
      <c r="A944" s="167" t="s">
        <v>25</v>
      </c>
      <c r="B944" s="167" t="s">
        <v>401</v>
      </c>
      <c r="C944" s="171" t="s">
        <v>464</v>
      </c>
      <c r="D944" s="172">
        <f>12100000*'Dev Bank Share by Country'!$E$156</f>
        <v>33637.783055847722</v>
      </c>
      <c r="E944" s="173" t="s">
        <v>451</v>
      </c>
      <c r="F944" s="173" t="s">
        <v>452</v>
      </c>
      <c r="G944" s="262" t="s">
        <v>793</v>
      </c>
      <c r="H944" s="173" t="s">
        <v>453</v>
      </c>
      <c r="I944" s="173" t="s">
        <v>284</v>
      </c>
      <c r="J944" s="173" t="s">
        <v>1498</v>
      </c>
      <c r="K944" s="241">
        <v>41471</v>
      </c>
      <c r="L944" s="173" t="s">
        <v>926</v>
      </c>
      <c r="M944" s="262" t="s">
        <v>898</v>
      </c>
      <c r="N944" s="256"/>
      <c r="O944" s="461">
        <f>CompletedProjects[[#This Row],[Power Plant Size (MW) or Share]]*0.593*9057*211.9*10^(-9)</f>
        <v>0</v>
      </c>
      <c r="P944" s="337">
        <f>CompletedProjects[[#This Row],[Annual Emissions (MMTCO2)]]*40</f>
        <v>0</v>
      </c>
      <c r="Q944" s="167"/>
      <c r="R944" s="167" t="s">
        <v>400</v>
      </c>
      <c r="S944" s="167" t="s">
        <v>633</v>
      </c>
      <c r="T944" s="167" t="s">
        <v>537</v>
      </c>
      <c r="U944" s="30"/>
      <c r="V944" s="30"/>
      <c r="W944" s="30"/>
      <c r="X944" s="30"/>
      <c r="Y944" s="30"/>
      <c r="Z944" s="30"/>
    </row>
    <row r="945" spans="1:26" customFormat="1" ht="43">
      <c r="A945" s="167" t="s">
        <v>25</v>
      </c>
      <c r="B945" s="182" t="s">
        <v>511</v>
      </c>
      <c r="C945" s="182" t="s">
        <v>464</v>
      </c>
      <c r="D945" s="172">
        <f>740000000*'Dev Bank Share by Country'!$G$156</f>
        <v>5022739.910832895</v>
      </c>
      <c r="E945" s="173" t="s">
        <v>418</v>
      </c>
      <c r="F945" s="173" t="s">
        <v>419</v>
      </c>
      <c r="G945" s="262" t="s">
        <v>765</v>
      </c>
      <c r="H945" s="173" t="s">
        <v>144</v>
      </c>
      <c r="I945" s="180" t="s">
        <v>283</v>
      </c>
      <c r="J945" s="183" t="s">
        <v>26</v>
      </c>
      <c r="K945" s="241">
        <v>39520</v>
      </c>
      <c r="L945" s="202" t="s">
        <v>817</v>
      </c>
      <c r="M945" s="262"/>
      <c r="N945" s="256">
        <f>330/19</f>
        <v>17.368421052631579</v>
      </c>
      <c r="O945" s="461">
        <f>CompletedProjects[[#This Row],[Power Plant Size (MW) or Share]]*0.593*9057*211.9*10^(-9)</f>
        <v>1.9766526396157894E-2</v>
      </c>
      <c r="P945" s="337">
        <f>CompletedProjects[[#This Row],[Annual Emissions (MMTCO2)]]*40</f>
        <v>0.79066105584631574</v>
      </c>
      <c r="Q945" s="176"/>
      <c r="R945" s="167" t="s">
        <v>400</v>
      </c>
      <c r="S945" s="167" t="s">
        <v>633</v>
      </c>
      <c r="T945" s="167"/>
      <c r="U945" s="30"/>
      <c r="V945" s="30"/>
      <c r="W945" s="30"/>
      <c r="X945" s="30"/>
      <c r="Y945" s="30"/>
      <c r="Z945" s="30"/>
    </row>
    <row r="946" spans="1:26" customFormat="1" ht="215">
      <c r="A946" s="167" t="s">
        <v>25</v>
      </c>
      <c r="B946" s="182" t="s">
        <v>511</v>
      </c>
      <c r="C946" s="182" t="s">
        <v>464</v>
      </c>
      <c r="D946" s="172">
        <f>28000000*'Dev Bank Share by Country'!$G$156</f>
        <v>190049.61824773118</v>
      </c>
      <c r="E946" s="173" t="s">
        <v>446</v>
      </c>
      <c r="F946" s="173" t="s">
        <v>447</v>
      </c>
      <c r="G946" s="262" t="s">
        <v>782</v>
      </c>
      <c r="H946" s="173" t="s">
        <v>201</v>
      </c>
      <c r="I946" s="173" t="s">
        <v>284</v>
      </c>
      <c r="J946" s="173" t="s">
        <v>1498</v>
      </c>
      <c r="K946" s="241">
        <v>41333</v>
      </c>
      <c r="L946" s="173" t="s">
        <v>832</v>
      </c>
      <c r="M946" s="262"/>
      <c r="N946" s="256">
        <f>750/19</f>
        <v>39.473684210526315</v>
      </c>
      <c r="O946" s="461">
        <f>CompletedProjects[[#This Row],[Power Plant Size (MW) or Share]]*0.593*9057*211.9*10^(-9)</f>
        <v>4.4923923627631576E-2</v>
      </c>
      <c r="P946" s="337">
        <f>CompletedProjects[[#This Row],[Annual Emissions (MMTCO2)]]*40</f>
        <v>1.7969569451052632</v>
      </c>
      <c r="Q946" s="167"/>
      <c r="R946" s="167" t="s">
        <v>639</v>
      </c>
      <c r="S946" s="167"/>
      <c r="T946" s="167"/>
      <c r="U946" s="30"/>
      <c r="V946" s="30"/>
      <c r="W946" s="30"/>
      <c r="X946" s="30"/>
      <c r="Y946" s="30"/>
      <c r="Z946" s="30"/>
    </row>
    <row r="947" spans="1:26" customFormat="1" ht="258">
      <c r="A947" s="167" t="s">
        <v>25</v>
      </c>
      <c r="B947" s="167" t="s">
        <v>401</v>
      </c>
      <c r="C947" s="182" t="s">
        <v>464</v>
      </c>
      <c r="D947" s="172">
        <f>11000000*'Dev Bank Share by Country'!$E$156</f>
        <v>30579.802778043384</v>
      </c>
      <c r="E947" s="173" t="s">
        <v>420</v>
      </c>
      <c r="F947" s="173" t="s">
        <v>421</v>
      </c>
      <c r="G947" s="262" t="s">
        <v>769</v>
      </c>
      <c r="H947" s="173" t="s">
        <v>422</v>
      </c>
      <c r="I947" s="180" t="s">
        <v>283</v>
      </c>
      <c r="J947" s="173" t="s">
        <v>277</v>
      </c>
      <c r="K947" s="241">
        <v>39777</v>
      </c>
      <c r="L947" s="197"/>
      <c r="M947" s="273"/>
      <c r="N947" s="256"/>
      <c r="O947" s="461">
        <f>CompletedProjects[[#This Row],[Power Plant Size (MW) or Share]]*0.593*9057*211.9*10^(-9)</f>
        <v>0</v>
      </c>
      <c r="P947" s="337">
        <f>CompletedProjects[[#This Row],[Annual Emissions (MMTCO2)]]*40</f>
        <v>0</v>
      </c>
      <c r="Q947" s="167"/>
      <c r="R947" s="173" t="s">
        <v>834</v>
      </c>
      <c r="S947" s="167" t="s">
        <v>633</v>
      </c>
      <c r="T947" s="173"/>
      <c r="U947" s="30"/>
      <c r="V947" s="30"/>
      <c r="W947" s="30"/>
      <c r="X947" s="30"/>
      <c r="Y947" s="30"/>
      <c r="Z947" s="30"/>
    </row>
    <row r="948" spans="1:26" customFormat="1" ht="86">
      <c r="A948" s="167" t="s">
        <v>25</v>
      </c>
      <c r="B948" s="182" t="s">
        <v>511</v>
      </c>
      <c r="C948" s="182" t="s">
        <v>464</v>
      </c>
      <c r="D948" s="172">
        <f>8000000*'Dev Bank Share by Country'!$G$156</f>
        <v>54299.890927923196</v>
      </c>
      <c r="E948" s="173" t="s">
        <v>405</v>
      </c>
      <c r="F948" s="173" t="s">
        <v>406</v>
      </c>
      <c r="G948" s="262" t="s">
        <v>786</v>
      </c>
      <c r="H948" s="173" t="s">
        <v>65</v>
      </c>
      <c r="I948" s="180" t="s">
        <v>283</v>
      </c>
      <c r="J948" s="173" t="s">
        <v>26</v>
      </c>
      <c r="K948" s="241">
        <v>39234</v>
      </c>
      <c r="L948" s="173" t="s">
        <v>815</v>
      </c>
      <c r="M948" s="262" t="s">
        <v>806</v>
      </c>
      <c r="N948" s="256">
        <f>600/19</f>
        <v>31.578947368421051</v>
      </c>
      <c r="O948" s="461">
        <f>CompletedProjects[[#This Row],[Power Plant Size (MW) or Share]]*0.593*9057*211.9*10^(-9)</f>
        <v>3.5939138902105268E-2</v>
      </c>
      <c r="P948" s="337">
        <f>CompletedProjects[[#This Row],[Annual Emissions (MMTCO2)]]*40</f>
        <v>1.4375655560842107</v>
      </c>
      <c r="Q948" s="167"/>
      <c r="R948" s="167" t="s">
        <v>467</v>
      </c>
      <c r="S948" s="167" t="s">
        <v>633</v>
      </c>
      <c r="T948" s="167"/>
      <c r="U948" s="30"/>
      <c r="V948" s="30"/>
      <c r="W948" s="30"/>
      <c r="X948" s="30"/>
      <c r="Y948" s="30"/>
      <c r="Z948" s="30"/>
    </row>
    <row r="949" spans="1:26" customFormat="1" ht="114.7">
      <c r="A949" s="167" t="s">
        <v>25</v>
      </c>
      <c r="B949" s="182" t="s">
        <v>511</v>
      </c>
      <c r="C949" s="182" t="s">
        <v>464</v>
      </c>
      <c r="D949" s="172">
        <f>275000000*'Dev Bank Share by Country'!$G$156</f>
        <v>1866558.7506473598</v>
      </c>
      <c r="E949" s="173" t="s">
        <v>413</v>
      </c>
      <c r="F949" s="173" t="s">
        <v>413</v>
      </c>
      <c r="G949" s="262" t="s">
        <v>766</v>
      </c>
      <c r="H949" s="173" t="s">
        <v>95</v>
      </c>
      <c r="I949" s="180" t="s">
        <v>283</v>
      </c>
      <c r="J949" s="173" t="s">
        <v>277</v>
      </c>
      <c r="K949" s="241">
        <v>39394</v>
      </c>
      <c r="L949" s="173" t="s">
        <v>917</v>
      </c>
      <c r="M949" s="262"/>
      <c r="N949" s="256">
        <f>600/7/2</f>
        <v>42.857142857142854</v>
      </c>
      <c r="O949" s="461">
        <f>CompletedProjects[[#This Row],[Power Plant Size (MW) or Share]]*0.593*9057*211.9*10^(-9)</f>
        <v>4.8774545652857132E-2</v>
      </c>
      <c r="P949" s="337">
        <f>CompletedProjects[[#This Row],[Annual Emissions (MMTCO2)]]*40</f>
        <v>1.9509818261142853</v>
      </c>
      <c r="Q949" s="167"/>
      <c r="R949" s="167" t="s">
        <v>640</v>
      </c>
      <c r="S949" s="167" t="s">
        <v>465</v>
      </c>
      <c r="T949" s="167"/>
      <c r="U949" s="30"/>
      <c r="V949" s="30"/>
      <c r="W949" s="30"/>
      <c r="X949" s="30"/>
      <c r="Y949" s="30"/>
      <c r="Z949" s="30"/>
    </row>
    <row r="950" spans="1:26" customFormat="1" ht="28.7">
      <c r="A950" s="183" t="s">
        <v>25</v>
      </c>
      <c r="B950" s="183" t="s">
        <v>509</v>
      </c>
      <c r="C950" s="183" t="s">
        <v>464</v>
      </c>
      <c r="D950" s="172">
        <v>6490564.1338866642</v>
      </c>
      <c r="E950" s="173" t="s">
        <v>429</v>
      </c>
      <c r="F950" s="173" t="s">
        <v>430</v>
      </c>
      <c r="G950" s="262" t="s">
        <v>928</v>
      </c>
      <c r="H950" s="173" t="s">
        <v>431</v>
      </c>
      <c r="I950" s="180" t="s">
        <v>283</v>
      </c>
      <c r="J950" s="173" t="s">
        <v>26</v>
      </c>
      <c r="K950" s="241">
        <v>40114</v>
      </c>
      <c r="L950" s="173"/>
      <c r="M950" s="262"/>
      <c r="N950" s="337">
        <f>600/15/2</f>
        <v>20</v>
      </c>
      <c r="O950" s="461">
        <f>CompletedProjects[[#This Row],[Power Plant Size (MW) or Share]]*0.593*9057*211.9*10^(-9)</f>
        <v>2.2761454637999997E-2</v>
      </c>
      <c r="P950" s="337">
        <f>CompletedProjects[[#This Row],[Annual Emissions (MMTCO2)]]*40</f>
        <v>0.91045818551999991</v>
      </c>
      <c r="Q950" s="176"/>
      <c r="R950" s="178" t="s">
        <v>467</v>
      </c>
      <c r="S950" s="167"/>
      <c r="T950" s="178"/>
      <c r="U950" s="30"/>
      <c r="V950" s="30"/>
      <c r="W950" s="30"/>
      <c r="X950" s="30"/>
      <c r="Y950" s="30"/>
      <c r="Z950" s="30"/>
    </row>
    <row r="951" spans="1:26" customFormat="1" ht="28.7">
      <c r="A951" s="167" t="s">
        <v>25</v>
      </c>
      <c r="B951" s="171" t="s">
        <v>509</v>
      </c>
      <c r="C951" s="171" t="s">
        <v>464</v>
      </c>
      <c r="D951" s="172">
        <v>131146105.97914734</v>
      </c>
      <c r="E951" s="173" t="s">
        <v>41</v>
      </c>
      <c r="F951" s="173" t="s">
        <v>468</v>
      </c>
      <c r="G951" s="262" t="s">
        <v>927</v>
      </c>
      <c r="H951" s="173" t="s">
        <v>25</v>
      </c>
      <c r="I951" s="180" t="s">
        <v>283</v>
      </c>
      <c r="J951" s="173" t="s">
        <v>26</v>
      </c>
      <c r="K951" s="241">
        <v>40142</v>
      </c>
      <c r="L951" s="173"/>
      <c r="M951" s="262"/>
      <c r="N951" s="337">
        <f>4800/15/2</f>
        <v>160</v>
      </c>
      <c r="O951" s="461">
        <f>CompletedProjects[[#This Row],[Power Plant Size (MW) or Share]]*0.593*9057*211.9*10^(-9)</f>
        <v>0.18209163710399998</v>
      </c>
      <c r="P951" s="337">
        <f>CompletedProjects[[#This Row],[Annual Emissions (MMTCO2)]]*40</f>
        <v>7.2836654841599993</v>
      </c>
      <c r="Q951" s="176"/>
      <c r="R951" s="178" t="s">
        <v>642</v>
      </c>
      <c r="S951" s="167"/>
      <c r="T951" s="178"/>
      <c r="U951" s="30"/>
      <c r="V951" s="30"/>
      <c r="W951" s="30"/>
      <c r="X951" s="30"/>
      <c r="Y951" s="30"/>
      <c r="Z951" s="30"/>
    </row>
    <row r="952" spans="1:26" customFormat="1" ht="43">
      <c r="A952" s="181" t="s">
        <v>25</v>
      </c>
      <c r="B952" s="182" t="s">
        <v>509</v>
      </c>
      <c r="C952" s="182" t="s">
        <v>464</v>
      </c>
      <c r="D952" s="172">
        <v>4110235.2776299492</v>
      </c>
      <c r="E952" s="173" t="s">
        <v>469</v>
      </c>
      <c r="F952" s="173" t="s">
        <v>516</v>
      </c>
      <c r="G952" s="262" t="s">
        <v>929</v>
      </c>
      <c r="H952" s="173" t="s">
        <v>458</v>
      </c>
      <c r="I952" s="180" t="s">
        <v>283</v>
      </c>
      <c r="J952" s="173" t="s">
        <v>26</v>
      </c>
      <c r="K952" s="241">
        <v>40142</v>
      </c>
      <c r="L952" s="173"/>
      <c r="M952" s="262"/>
      <c r="N952" s="150">
        <f>125/15</f>
        <v>8.3333333333333339</v>
      </c>
      <c r="O952" s="461">
        <f>CompletedProjects[[#This Row],[Power Plant Size (MW) or Share]]*0.593*9057*211.9*10^(-9)</f>
        <v>9.4839394324999996E-3</v>
      </c>
      <c r="P952" s="337">
        <f>CompletedProjects[[#This Row],[Annual Emissions (MMTCO2)]]*40</f>
        <v>0.37935757729999997</v>
      </c>
      <c r="Q952" s="203"/>
      <c r="R952" s="167" t="s">
        <v>470</v>
      </c>
      <c r="S952" s="167"/>
      <c r="T952" s="167" t="s">
        <v>537</v>
      </c>
      <c r="U952" s="30"/>
      <c r="V952" s="30"/>
      <c r="W952" s="30"/>
      <c r="X952" s="30"/>
      <c r="Y952" s="30"/>
      <c r="Z952" s="30"/>
    </row>
    <row r="953" spans="1:26" customFormat="1" ht="172">
      <c r="A953" s="167" t="s">
        <v>25</v>
      </c>
      <c r="B953" s="167" t="s">
        <v>401</v>
      </c>
      <c r="C953" s="182" t="s">
        <v>464</v>
      </c>
      <c r="D953" s="172">
        <f>11250000*'Dev Bank Share by Country'!$E$156</f>
        <v>31274.798295726188</v>
      </c>
      <c r="E953" s="173" t="s">
        <v>270</v>
      </c>
      <c r="F953" s="173" t="s">
        <v>433</v>
      </c>
      <c r="G953" s="262" t="s">
        <v>767</v>
      </c>
      <c r="H953" s="173" t="s">
        <v>201</v>
      </c>
      <c r="I953" s="173" t="s">
        <v>40</v>
      </c>
      <c r="J953" s="173" t="s">
        <v>417</v>
      </c>
      <c r="K953" s="241">
        <v>40673</v>
      </c>
      <c r="L953" s="173" t="s">
        <v>828</v>
      </c>
      <c r="M953" s="273" t="s">
        <v>827</v>
      </c>
      <c r="N953" s="256"/>
      <c r="O953" s="461">
        <f>CompletedProjects[[#This Row],[Power Plant Size (MW) or Share]]*0.593*9057*211.9*10^(-9)</f>
        <v>0</v>
      </c>
      <c r="P953" s="337">
        <f>CompletedProjects[[#This Row],[Annual Emissions (MMTCO2)]]*40</f>
        <v>0</v>
      </c>
      <c r="Q953" s="167"/>
      <c r="R953" s="167" t="s">
        <v>400</v>
      </c>
      <c r="S953" s="167" t="s">
        <v>465</v>
      </c>
      <c r="T953" s="167"/>
      <c r="U953" s="30"/>
      <c r="V953" s="30"/>
      <c r="W953" s="30"/>
      <c r="X953" s="30"/>
      <c r="Y953" s="30"/>
      <c r="Z953" s="30"/>
    </row>
    <row r="954" spans="1:26" customFormat="1" ht="143.35">
      <c r="A954" s="181" t="s">
        <v>25</v>
      </c>
      <c r="B954" s="182" t="s">
        <v>445</v>
      </c>
      <c r="C954" s="182" t="s">
        <v>464</v>
      </c>
      <c r="D954" s="172">
        <f>450000000*'Dev Bank Share by Country'!$G$156</f>
        <v>3054368.8646956794</v>
      </c>
      <c r="E954" s="183" t="s">
        <v>1395</v>
      </c>
      <c r="F954" s="183" t="s">
        <v>1393</v>
      </c>
      <c r="G954" s="262" t="s">
        <v>1394</v>
      </c>
      <c r="H954" s="183" t="s">
        <v>65</v>
      </c>
      <c r="I954" s="180" t="s">
        <v>283</v>
      </c>
      <c r="J954" s="183" t="s">
        <v>26</v>
      </c>
      <c r="K954" s="242">
        <v>39562</v>
      </c>
      <c r="L954" s="173" t="s">
        <v>919</v>
      </c>
      <c r="M954" s="262" t="s">
        <v>768</v>
      </c>
      <c r="N954" s="338">
        <f>4000/3/20</f>
        <v>66.666666666666657</v>
      </c>
      <c r="O954" s="461">
        <f>CompletedProjects[[#This Row],[Power Plant Size (MW) or Share]]*0.593*9057*211.9*10^(-9)</f>
        <v>7.5871515459999983E-2</v>
      </c>
      <c r="P954" s="337">
        <f>CompletedProjects[[#This Row],[Annual Emissions (MMTCO2)]]*40</f>
        <v>3.0348606183999993</v>
      </c>
      <c r="Q954" s="176"/>
      <c r="R954" s="173" t="s">
        <v>1396</v>
      </c>
      <c r="S954" s="167"/>
      <c r="T954" s="173"/>
      <c r="U954" s="30"/>
      <c r="V954" s="30"/>
      <c r="W954" s="30"/>
      <c r="X954" s="30"/>
      <c r="Y954" s="30"/>
      <c r="Z954" s="30"/>
    </row>
    <row r="955" spans="1:26" ht="57.35">
      <c r="A955" s="167" t="s">
        <v>25</v>
      </c>
      <c r="B955" s="182" t="s">
        <v>511</v>
      </c>
      <c r="C955" s="182" t="s">
        <v>464</v>
      </c>
      <c r="D955" s="172">
        <f>18000000*'Dev Bank Share by Country'!$G$156</f>
        <v>122174.75458782718</v>
      </c>
      <c r="E955" s="173" t="s">
        <v>407</v>
      </c>
      <c r="F955" s="173" t="s">
        <v>407</v>
      </c>
      <c r="G955" s="262" t="s">
        <v>776</v>
      </c>
      <c r="H955" s="173" t="s">
        <v>408</v>
      </c>
      <c r="I955" s="180" t="s">
        <v>283</v>
      </c>
      <c r="J955" s="173" t="s">
        <v>409</v>
      </c>
      <c r="K955" s="241">
        <v>39254</v>
      </c>
      <c r="L955" s="173" t="s">
        <v>816</v>
      </c>
      <c r="M955" s="262"/>
      <c r="N955" s="256">
        <f>60/19</f>
        <v>3.1578947368421053</v>
      </c>
      <c r="O955" s="461">
        <f>CompletedProjects[[#This Row],[Power Plant Size (MW) or Share]]*0.593*9057*211.9*10^(-9)</f>
        <v>3.5939138902105262E-3</v>
      </c>
      <c r="P955" s="337">
        <f>CompletedProjects[[#This Row],[Annual Emissions (MMTCO2)]]*40</f>
        <v>0.14375655560842104</v>
      </c>
      <c r="Q955" s="167"/>
      <c r="R955" s="167" t="s">
        <v>636</v>
      </c>
      <c r="S955" s="167" t="s">
        <v>633</v>
      </c>
      <c r="T955" s="167"/>
      <c r="U955" s="22"/>
      <c r="V955" s="2"/>
      <c r="X955" s="30"/>
      <c r="Y955" s="2"/>
    </row>
    <row r="956" spans="1:26" ht="86">
      <c r="A956" s="167" t="s">
        <v>25</v>
      </c>
      <c r="B956" s="167" t="s">
        <v>401</v>
      </c>
      <c r="C956" s="182" t="s">
        <v>464</v>
      </c>
      <c r="D956" s="172">
        <f>7500000*'Dev Bank Share by Country'!$E$156</f>
        <v>20849.865530484127</v>
      </c>
      <c r="E956" s="173" t="s">
        <v>456</v>
      </c>
      <c r="F956" s="173" t="s">
        <v>457</v>
      </c>
      <c r="G956" s="262" t="s">
        <v>794</v>
      </c>
      <c r="H956" s="173" t="s">
        <v>458</v>
      </c>
      <c r="I956" s="180" t="s">
        <v>283</v>
      </c>
      <c r="J956" s="173" t="s">
        <v>26</v>
      </c>
      <c r="K956" s="241">
        <v>41627</v>
      </c>
      <c r="L956" s="173" t="s">
        <v>899</v>
      </c>
      <c r="M956" s="262"/>
      <c r="N956" s="256">
        <f>125/19</f>
        <v>6.5789473684210522</v>
      </c>
      <c r="O956" s="461">
        <f>CompletedProjects[[#This Row],[Power Plant Size (MW) or Share]]*0.593*9057*211.9*10^(-9)</f>
        <v>7.487320604605263E-3</v>
      </c>
      <c r="P956" s="337">
        <f>CompletedProjects[[#This Row],[Annual Emissions (MMTCO2)]]*40</f>
        <v>0.29949282418421053</v>
      </c>
      <c r="Q956" s="167"/>
      <c r="R956" s="167" t="s">
        <v>637</v>
      </c>
      <c r="S956" s="167" t="s">
        <v>633</v>
      </c>
      <c r="T956" s="167" t="s">
        <v>537</v>
      </c>
      <c r="U956" s="22"/>
      <c r="V956" s="2"/>
      <c r="X956" s="30"/>
      <c r="Y956" s="2"/>
    </row>
    <row r="957" spans="1:26" customFormat="1" ht="100.35">
      <c r="A957" s="167" t="s">
        <v>25</v>
      </c>
      <c r="B957" s="182" t="s">
        <v>511</v>
      </c>
      <c r="C957" s="182" t="s">
        <v>464</v>
      </c>
      <c r="D957" s="172">
        <f>146970000*'Dev Bank Share by Country'!$G$156</f>
        <v>997556.87120960897</v>
      </c>
      <c r="E957" s="173" t="s">
        <v>459</v>
      </c>
      <c r="F957" s="173" t="s">
        <v>460</v>
      </c>
      <c r="G957" s="262" t="s">
        <v>784</v>
      </c>
      <c r="H957" s="173" t="s">
        <v>239</v>
      </c>
      <c r="I957" s="180" t="s">
        <v>283</v>
      </c>
      <c r="J957" s="173" t="s">
        <v>26</v>
      </c>
      <c r="K957" s="241">
        <v>41701</v>
      </c>
      <c r="L957" s="173" t="s">
        <v>900</v>
      </c>
      <c r="M957" s="262"/>
      <c r="N957" s="256"/>
      <c r="O957" s="461">
        <f>CompletedProjects[[#This Row],[Power Plant Size (MW) or Share]]*0.593*9057*211.9*10^(-9)</f>
        <v>0</v>
      </c>
      <c r="P957" s="337">
        <f>CompletedProjects[[#This Row],[Annual Emissions (MMTCO2)]]*40</f>
        <v>0</v>
      </c>
      <c r="Q957" s="167"/>
      <c r="R957" s="167" t="s">
        <v>400</v>
      </c>
      <c r="S957" s="167" t="s">
        <v>465</v>
      </c>
      <c r="T957" s="167"/>
      <c r="U957" s="30"/>
      <c r="V957" s="30"/>
      <c r="W957" s="30"/>
      <c r="X957" s="30"/>
      <c r="Y957" s="30"/>
      <c r="Z957" s="30"/>
    </row>
    <row r="958" spans="1:26" customFormat="1" ht="129">
      <c r="A958" s="181" t="s">
        <v>25</v>
      </c>
      <c r="B958" s="182" t="s">
        <v>509</v>
      </c>
      <c r="C958" s="182" t="s">
        <v>464</v>
      </c>
      <c r="D958" s="172">
        <v>9898218.6095844656</v>
      </c>
      <c r="E958" s="173" t="s">
        <v>556</v>
      </c>
      <c r="F958" s="173" t="s">
        <v>555</v>
      </c>
      <c r="G958" s="262"/>
      <c r="H958" s="173" t="s">
        <v>554</v>
      </c>
      <c r="I958" s="180" t="s">
        <v>283</v>
      </c>
      <c r="J958" s="173" t="s">
        <v>26</v>
      </c>
      <c r="K958" s="240">
        <v>42064</v>
      </c>
      <c r="L958" s="173" t="s">
        <v>857</v>
      </c>
      <c r="M958" s="262" t="s">
        <v>858</v>
      </c>
      <c r="N958" s="337"/>
      <c r="O958" s="461">
        <f>CompletedProjects[[#This Row],[Power Plant Size (MW) or Share]]*0.593*9057*211.9*10^(-9)</f>
        <v>0</v>
      </c>
      <c r="P958" s="337">
        <f>CompletedProjects[[#This Row],[Annual Emissions (MMTCO2)]]*40</f>
        <v>0</v>
      </c>
      <c r="Q958" s="176"/>
      <c r="R958" s="178" t="s">
        <v>537</v>
      </c>
      <c r="S958" s="167"/>
      <c r="T958" s="178"/>
      <c r="U958" s="30"/>
      <c r="V958" s="30"/>
      <c r="W958" s="30"/>
      <c r="X958" s="30"/>
      <c r="Y958" s="30"/>
      <c r="Z958" s="30"/>
    </row>
    <row r="959" spans="1:26" customFormat="1" ht="215">
      <c r="A959" s="167" t="s">
        <v>25</v>
      </c>
      <c r="B959" s="182" t="s">
        <v>509</v>
      </c>
      <c r="C959" s="182" t="s">
        <v>464</v>
      </c>
      <c r="D959" s="172">
        <v>55677479.678912617</v>
      </c>
      <c r="E959" s="173" t="s">
        <v>41</v>
      </c>
      <c r="F959" s="173" t="s">
        <v>553</v>
      </c>
      <c r="G959" s="262" t="s">
        <v>788</v>
      </c>
      <c r="H959" s="173" t="s">
        <v>25</v>
      </c>
      <c r="I959" s="173" t="s">
        <v>284</v>
      </c>
      <c r="J959" s="173" t="s">
        <v>79</v>
      </c>
      <c r="K959" s="240">
        <v>42359</v>
      </c>
      <c r="L959" s="173" t="s">
        <v>1326</v>
      </c>
      <c r="M959" s="262" t="s">
        <v>861</v>
      </c>
      <c r="N959" s="337"/>
      <c r="O959" s="461">
        <f>CompletedProjects[[#This Row],[Power Plant Size (MW) or Share]]*0.593*9057*211.9*10^(-9)</f>
        <v>0</v>
      </c>
      <c r="P959" s="337">
        <f>CompletedProjects[[#This Row],[Annual Emissions (MMTCO2)]]*40</f>
        <v>0</v>
      </c>
      <c r="Q959" s="176"/>
      <c r="R959" s="178"/>
      <c r="S959" s="167"/>
      <c r="T959" s="178"/>
      <c r="U959" s="30"/>
      <c r="V959" s="30"/>
      <c r="W959" s="30"/>
      <c r="X959" s="30"/>
      <c r="Y959" s="30"/>
      <c r="Z959" s="30"/>
    </row>
    <row r="960" spans="1:26" customFormat="1" ht="86">
      <c r="A960" s="167" t="s">
        <v>25</v>
      </c>
      <c r="B960" s="171" t="s">
        <v>511</v>
      </c>
      <c r="C960" s="171" t="s">
        <v>464</v>
      </c>
      <c r="D960" s="172">
        <f>45500000*'Dev Bank Share by Country'!$G$156</f>
        <v>308830.62965256313</v>
      </c>
      <c r="E960" s="173" t="s">
        <v>440</v>
      </c>
      <c r="F960" s="173" t="s">
        <v>441</v>
      </c>
      <c r="G960" s="262" t="s">
        <v>771</v>
      </c>
      <c r="H960" s="173" t="s">
        <v>442</v>
      </c>
      <c r="I960" s="173" t="s">
        <v>40</v>
      </c>
      <c r="J960" s="173" t="s">
        <v>443</v>
      </c>
      <c r="K960" s="241">
        <v>41060</v>
      </c>
      <c r="L960" s="173" t="s">
        <v>924</v>
      </c>
      <c r="M960" s="273"/>
      <c r="N960" s="256"/>
      <c r="O960" s="461">
        <f>CompletedProjects[[#This Row],[Power Plant Size (MW) or Share]]*0.593*9057*211.9*10^(-9)</f>
        <v>0</v>
      </c>
      <c r="P960" s="337">
        <f>CompletedProjects[[#This Row],[Annual Emissions (MMTCO2)]]*40</f>
        <v>0</v>
      </c>
      <c r="Q960" s="167"/>
      <c r="R960" s="167" t="s">
        <v>400</v>
      </c>
      <c r="S960" s="167" t="s">
        <v>465</v>
      </c>
      <c r="T960" s="167"/>
      <c r="U960" s="30"/>
      <c r="V960" s="30"/>
      <c r="W960" s="30"/>
      <c r="X960" s="30"/>
      <c r="Y960" s="30"/>
      <c r="Z960" s="30"/>
    </row>
    <row r="961" spans="1:26" customFormat="1" ht="215">
      <c r="A961" s="167" t="s">
        <v>25</v>
      </c>
      <c r="B961" s="167" t="s">
        <v>401</v>
      </c>
      <c r="C961" s="182" t="s">
        <v>464</v>
      </c>
      <c r="D961" s="172">
        <f>200000000*'Dev Bank Share by Country'!$E$156</f>
        <v>555996.41414624336</v>
      </c>
      <c r="E961" s="173" t="s">
        <v>461</v>
      </c>
      <c r="F961" s="173" t="s">
        <v>462</v>
      </c>
      <c r="G961" s="262" t="s">
        <v>795</v>
      </c>
      <c r="H961" s="173" t="s">
        <v>442</v>
      </c>
      <c r="I961" s="173" t="s">
        <v>284</v>
      </c>
      <c r="J961" s="173" t="s">
        <v>1498</v>
      </c>
      <c r="K961" s="241">
        <v>41760</v>
      </c>
      <c r="L961" s="173" t="s">
        <v>831</v>
      </c>
      <c r="M961" s="262" t="s">
        <v>830</v>
      </c>
      <c r="N961" s="256"/>
      <c r="O961" s="461">
        <f>CompletedProjects[[#This Row],[Power Plant Size (MW) or Share]]*0.593*9057*211.9*10^(-9)</f>
        <v>0</v>
      </c>
      <c r="P961" s="337">
        <f>CompletedProjects[[#This Row],[Annual Emissions (MMTCO2)]]*40</f>
        <v>0</v>
      </c>
      <c r="Q961" s="167"/>
      <c r="R961" s="167" t="s">
        <v>400</v>
      </c>
      <c r="S961" s="167" t="s">
        <v>465</v>
      </c>
      <c r="T961" s="167"/>
      <c r="U961" s="30"/>
      <c r="V961" s="30"/>
      <c r="W961" s="30"/>
      <c r="X961" s="30"/>
      <c r="Y961" s="30"/>
      <c r="Z961" s="30"/>
    </row>
    <row r="962" spans="1:26" customFormat="1" ht="114.7">
      <c r="A962" s="167" t="s">
        <v>25</v>
      </c>
      <c r="B962" s="167" t="s">
        <v>401</v>
      </c>
      <c r="C962" s="171" t="s">
        <v>464</v>
      </c>
      <c r="D962" s="172">
        <f>280000*'Dev Bank Share by Country'!$E$156</f>
        <v>778.39497980474073</v>
      </c>
      <c r="E962" s="173" t="s">
        <v>437</v>
      </c>
      <c r="F962" s="173" t="s">
        <v>438</v>
      </c>
      <c r="G962" s="262" t="s">
        <v>790</v>
      </c>
      <c r="H962" s="173" t="s">
        <v>439</v>
      </c>
      <c r="I962" s="173" t="s">
        <v>284</v>
      </c>
      <c r="J962" s="173" t="s">
        <v>1498</v>
      </c>
      <c r="K962" s="241">
        <v>41039</v>
      </c>
      <c r="L962" s="173" t="s">
        <v>897</v>
      </c>
      <c r="M962" s="273" t="s">
        <v>780</v>
      </c>
      <c r="N962" s="256"/>
      <c r="O962" s="461">
        <f>CompletedProjects[[#This Row],[Power Plant Size (MW) or Share]]*0.593*9057*211.9*10^(-9)</f>
        <v>0</v>
      </c>
      <c r="P962" s="337">
        <f>CompletedProjects[[#This Row],[Annual Emissions (MMTCO2)]]*40</f>
        <v>0</v>
      </c>
      <c r="Q962" s="167"/>
      <c r="R962" s="167" t="s">
        <v>400</v>
      </c>
      <c r="S962" s="167" t="s">
        <v>465</v>
      </c>
      <c r="T962" s="167"/>
      <c r="U962" s="30"/>
      <c r="V962" s="30"/>
      <c r="W962" s="30"/>
      <c r="X962" s="30"/>
      <c r="Y962" s="30"/>
      <c r="Z962" s="30"/>
    </row>
    <row r="963" spans="1:26" customFormat="1" ht="172">
      <c r="A963" s="167" t="s">
        <v>25</v>
      </c>
      <c r="B963" s="167" t="s">
        <v>513</v>
      </c>
      <c r="C963" s="167" t="s">
        <v>464</v>
      </c>
      <c r="D963" s="172">
        <f>57000000*'Dev Bank Share by Country'!$C$156</f>
        <v>467400.00000000006</v>
      </c>
      <c r="E963" s="173" t="s">
        <v>415</v>
      </c>
      <c r="F963" s="173" t="s">
        <v>416</v>
      </c>
      <c r="G963" s="262" t="s">
        <v>772</v>
      </c>
      <c r="H963" s="173" t="s">
        <v>368</v>
      </c>
      <c r="I963" s="173" t="s">
        <v>40</v>
      </c>
      <c r="J963" s="173" t="s">
        <v>417</v>
      </c>
      <c r="K963" s="241">
        <v>39436</v>
      </c>
      <c r="L963" s="173" t="s">
        <v>918</v>
      </c>
      <c r="M963" s="273" t="s">
        <v>895</v>
      </c>
      <c r="N963" s="256"/>
      <c r="O963" s="461">
        <f>CompletedProjects[[#This Row],[Power Plant Size (MW) or Share]]*0.593*9057*211.9*10^(-9)</f>
        <v>0</v>
      </c>
      <c r="P963" s="337">
        <f>CompletedProjects[[#This Row],[Annual Emissions (MMTCO2)]]*40</f>
        <v>0</v>
      </c>
      <c r="Q963" s="167"/>
      <c r="R963" s="167" t="s">
        <v>400</v>
      </c>
      <c r="S963" s="167" t="s">
        <v>633</v>
      </c>
      <c r="T963" s="167"/>
      <c r="U963" s="30"/>
      <c r="V963" s="30"/>
      <c r="W963" s="30"/>
      <c r="X963" s="30"/>
      <c r="Y963" s="30"/>
      <c r="Z963" s="30"/>
    </row>
    <row r="964" spans="1:26" customFormat="1" ht="172">
      <c r="A964" s="167" t="s">
        <v>1309</v>
      </c>
      <c r="B964" s="182" t="s">
        <v>511</v>
      </c>
      <c r="C964" s="182" t="s">
        <v>464</v>
      </c>
      <c r="D964" s="172">
        <f>500000000*'Dev Bank Share by Country'!$G$90</f>
        <v>5484388.7423899919</v>
      </c>
      <c r="E964" s="183" t="s">
        <v>454</v>
      </c>
      <c r="F964" s="183" t="s">
        <v>514</v>
      </c>
      <c r="G964" s="262" t="s">
        <v>783</v>
      </c>
      <c r="H964" s="183" t="s">
        <v>515</v>
      </c>
      <c r="I964" s="180" t="s">
        <v>283</v>
      </c>
      <c r="J964" s="183" t="s">
        <v>26</v>
      </c>
      <c r="K964" s="242">
        <v>41760</v>
      </c>
      <c r="L964" s="183" t="s">
        <v>833</v>
      </c>
      <c r="M964" s="262"/>
      <c r="N964" s="337">
        <f>(270+450)/19</f>
        <v>37.89473684210526</v>
      </c>
      <c r="O964" s="461">
        <f>CompletedProjects[[#This Row],[Power Plant Size (MW) or Share]]*0.593*9057*211.9*10^(-9)</f>
        <v>4.3126966682526316E-2</v>
      </c>
      <c r="P964" s="337">
        <f>CompletedProjects[[#This Row],[Annual Emissions (MMTCO2)]]*40</f>
        <v>1.7250786673010525</v>
      </c>
      <c r="Q964" s="176"/>
      <c r="R964" s="178" t="s">
        <v>639</v>
      </c>
      <c r="S964" s="167" t="s">
        <v>465</v>
      </c>
      <c r="T964" s="178"/>
      <c r="U964" s="30"/>
      <c r="V964" s="30"/>
      <c r="W964" s="30"/>
      <c r="X964" s="30"/>
      <c r="Y964" s="30"/>
      <c r="Z964" s="30"/>
    </row>
    <row r="965" spans="1:26" customFormat="1" ht="172">
      <c r="A965" s="167" t="s">
        <v>1309</v>
      </c>
      <c r="B965" s="167" t="s">
        <v>401</v>
      </c>
      <c r="C965" s="182" t="s">
        <v>464</v>
      </c>
      <c r="D965" s="172">
        <f>1120000*'Dev Bank Share by Country'!$E$90</f>
        <v>9405.7009458122102</v>
      </c>
      <c r="E965" s="173" t="s">
        <v>402</v>
      </c>
      <c r="F965" s="173" t="s">
        <v>403</v>
      </c>
      <c r="G965" s="262" t="s">
        <v>785</v>
      </c>
      <c r="H965" s="173" t="s">
        <v>404</v>
      </c>
      <c r="I965" s="173" t="s">
        <v>284</v>
      </c>
      <c r="J965" s="173" t="s">
        <v>1498</v>
      </c>
      <c r="K965" s="241">
        <v>39224</v>
      </c>
      <c r="L965" s="173" t="s">
        <v>826</v>
      </c>
      <c r="M965" s="262" t="s">
        <v>785</v>
      </c>
      <c r="N965" s="256"/>
      <c r="O965" s="461">
        <f>CompletedProjects[[#This Row],[Power Plant Size (MW) or Share]]*0.593*9057*211.9*10^(-9)</f>
        <v>0</v>
      </c>
      <c r="P965" s="337">
        <f>CompletedProjects[[#This Row],[Annual Emissions (MMTCO2)]]*40</f>
        <v>0</v>
      </c>
      <c r="Q965" s="167"/>
      <c r="R965" s="167" t="s">
        <v>400</v>
      </c>
      <c r="S965" s="167" t="s">
        <v>633</v>
      </c>
      <c r="T965" s="167" t="s">
        <v>537</v>
      </c>
      <c r="U965" s="30"/>
      <c r="V965" s="30"/>
      <c r="W965" s="30"/>
      <c r="X965" s="30"/>
      <c r="Y965" s="30"/>
      <c r="Z965" s="30"/>
    </row>
    <row r="966" spans="1:26" customFormat="1" ht="172">
      <c r="A966" s="167" t="s">
        <v>1309</v>
      </c>
      <c r="B966" s="167" t="s">
        <v>401</v>
      </c>
      <c r="C966" s="182" t="s">
        <v>464</v>
      </c>
      <c r="D966" s="172">
        <f>4200000*'Dev Bank Share by Country'!$E$90</f>
        <v>35271.378546795786</v>
      </c>
      <c r="E966" s="173" t="s">
        <v>448</v>
      </c>
      <c r="F966" s="173" t="s">
        <v>449</v>
      </c>
      <c r="G966" s="262" t="s">
        <v>792</v>
      </c>
      <c r="H966" s="173" t="s">
        <v>450</v>
      </c>
      <c r="I966" s="173" t="s">
        <v>40</v>
      </c>
      <c r="J966" s="173" t="s">
        <v>1502</v>
      </c>
      <c r="K966" s="241">
        <v>41404</v>
      </c>
      <c r="L966" s="173" t="s">
        <v>925</v>
      </c>
      <c r="M966" s="262"/>
      <c r="N966" s="256"/>
      <c r="O966" s="461">
        <f>CompletedProjects[[#This Row],[Power Plant Size (MW) or Share]]*0.593*9057*211.9*10^(-9)</f>
        <v>0</v>
      </c>
      <c r="P966" s="337">
        <f>CompletedProjects[[#This Row],[Annual Emissions (MMTCO2)]]*40</f>
        <v>0</v>
      </c>
      <c r="Q966" s="167"/>
      <c r="R966" s="167" t="s">
        <v>400</v>
      </c>
      <c r="S966" s="167" t="s">
        <v>465</v>
      </c>
      <c r="T966" s="167"/>
      <c r="U966" s="30"/>
      <c r="V966" s="30"/>
      <c r="W966" s="30"/>
      <c r="X966" s="30"/>
      <c r="Y966" s="30"/>
      <c r="Z966" s="30"/>
    </row>
    <row r="967" spans="1:26" customFormat="1" ht="157.69999999999999">
      <c r="A967" s="167" t="s">
        <v>1309</v>
      </c>
      <c r="B967" s="167" t="s">
        <v>513</v>
      </c>
      <c r="C967" s="182" t="s">
        <v>464</v>
      </c>
      <c r="D967" s="172">
        <f>180000000*'Dev Bank Share by Country'!$C$90</f>
        <v>3096000</v>
      </c>
      <c r="E967" s="173" t="s">
        <v>425</v>
      </c>
      <c r="F967" s="173" t="s">
        <v>426</v>
      </c>
      <c r="G967" s="262" t="s">
        <v>770</v>
      </c>
      <c r="H967" s="173" t="s">
        <v>65</v>
      </c>
      <c r="I967" s="180" t="s">
        <v>283</v>
      </c>
      <c r="J967" s="173" t="s">
        <v>277</v>
      </c>
      <c r="K967" s="241">
        <v>39982</v>
      </c>
      <c r="L967" s="173" t="s">
        <v>921</v>
      </c>
      <c r="M967" s="273"/>
      <c r="N967" s="256">
        <f>420/19</f>
        <v>22.105263157894736</v>
      </c>
      <c r="O967" s="461">
        <f>CompletedProjects[[#This Row],[Power Plant Size (MW) or Share]]*0.593*9057*211.9*10^(-9)</f>
        <v>2.5157397231473682E-2</v>
      </c>
      <c r="P967" s="337">
        <f>CompletedProjects[[#This Row],[Annual Emissions (MMTCO2)]]*40</f>
        <v>1.0062958892589473</v>
      </c>
      <c r="Q967" s="167"/>
      <c r="R967" s="167" t="s">
        <v>638</v>
      </c>
      <c r="S967" s="167" t="s">
        <v>466</v>
      </c>
      <c r="T967" s="167"/>
      <c r="U967" s="30"/>
      <c r="V967" s="30"/>
      <c r="W967" s="30"/>
      <c r="X967" s="30"/>
      <c r="Y967" s="30"/>
      <c r="Z967" s="30"/>
    </row>
    <row r="968" spans="1:26" customFormat="1" ht="100.35">
      <c r="A968" s="167" t="s">
        <v>1309</v>
      </c>
      <c r="B968" s="167" t="s">
        <v>511</v>
      </c>
      <c r="C968" s="167" t="s">
        <v>464</v>
      </c>
      <c r="D968" s="172">
        <f>25000000*'Dev Bank Share by Country'!$G$90</f>
        <v>274219.43711949961</v>
      </c>
      <c r="E968" s="173" t="s">
        <v>398</v>
      </c>
      <c r="F968" s="173" t="s">
        <v>398</v>
      </c>
      <c r="G968" s="262" t="s">
        <v>787</v>
      </c>
      <c r="H968" s="173" t="s">
        <v>399</v>
      </c>
      <c r="I968" s="180" t="s">
        <v>283</v>
      </c>
      <c r="J968" s="173" t="s">
        <v>26</v>
      </c>
      <c r="K968" s="241">
        <v>39204</v>
      </c>
      <c r="L968" s="173" t="s">
        <v>915</v>
      </c>
      <c r="M968" s="262"/>
      <c r="N968" s="256">
        <f>30/20</f>
        <v>1.5</v>
      </c>
      <c r="O968" s="461">
        <f>CompletedProjects[[#This Row],[Power Plant Size (MW) or Share]]*0.593*9057*211.9*10^(-9)</f>
        <v>1.7071090978499999E-3</v>
      </c>
      <c r="P968" s="337">
        <f>CompletedProjects[[#This Row],[Annual Emissions (MMTCO2)]]*40</f>
        <v>6.8284363914000001E-2</v>
      </c>
      <c r="Q968" s="176"/>
      <c r="R968" s="167" t="s">
        <v>635</v>
      </c>
      <c r="S968" s="167" t="s">
        <v>465</v>
      </c>
      <c r="T968" s="167"/>
      <c r="U968" s="30"/>
      <c r="V968" s="30"/>
      <c r="W968" s="30"/>
      <c r="X968" s="30"/>
      <c r="Y968" s="30"/>
      <c r="Z968" s="30"/>
    </row>
    <row r="969" spans="1:26" customFormat="1" ht="57.35">
      <c r="A969" s="181" t="s">
        <v>1309</v>
      </c>
      <c r="B969" s="182" t="s">
        <v>559</v>
      </c>
      <c r="C969" s="182" t="s">
        <v>464</v>
      </c>
      <c r="D969" s="172">
        <v>1140064.6028788888</v>
      </c>
      <c r="E969" s="173" t="s">
        <v>592</v>
      </c>
      <c r="F969" s="173" t="s">
        <v>599</v>
      </c>
      <c r="G969" s="262" t="s">
        <v>799</v>
      </c>
      <c r="H969" s="173" t="s">
        <v>201</v>
      </c>
      <c r="I969" s="173" t="s">
        <v>40</v>
      </c>
      <c r="J969" s="173" t="s">
        <v>40</v>
      </c>
      <c r="K969" s="240">
        <v>40310</v>
      </c>
      <c r="L969" s="173" t="s">
        <v>1692</v>
      </c>
      <c r="M969" s="262" t="s">
        <v>908</v>
      </c>
      <c r="N969" s="337"/>
      <c r="O969" s="461">
        <f>CompletedProjects[[#This Row],[Power Plant Size (MW) or Share]]*0.593*9057*211.9*10^(-9)</f>
        <v>0</v>
      </c>
      <c r="P969" s="337">
        <f>CompletedProjects[[#This Row],[Annual Emissions (MMTCO2)]]*40</f>
        <v>0</v>
      </c>
      <c r="Q969" s="176">
        <v>0.3</v>
      </c>
      <c r="R969" s="178"/>
      <c r="S969" s="167"/>
      <c r="T969" s="178"/>
      <c r="U969" s="30"/>
      <c r="V969" s="30"/>
      <c r="W969" s="30"/>
      <c r="X969" s="30"/>
      <c r="Y969" s="30"/>
      <c r="Z969" s="30"/>
    </row>
    <row r="970" spans="1:26" customFormat="1" ht="57.35">
      <c r="A970" s="24" t="s">
        <v>1309</v>
      </c>
      <c r="B970" s="23" t="s">
        <v>977</v>
      </c>
      <c r="C970" s="23" t="s">
        <v>336</v>
      </c>
      <c r="D970" s="321">
        <v>0</v>
      </c>
      <c r="E970" s="149" t="s">
        <v>1378</v>
      </c>
      <c r="F970" s="24" t="s">
        <v>1574</v>
      </c>
      <c r="G970" s="231"/>
      <c r="H970" s="27" t="s">
        <v>63</v>
      </c>
      <c r="I970" s="3" t="s">
        <v>283</v>
      </c>
      <c r="J970" s="24" t="s">
        <v>26</v>
      </c>
      <c r="K970" s="143">
        <v>42340</v>
      </c>
      <c r="L970" s="28" t="s">
        <v>1379</v>
      </c>
      <c r="M970" s="358" t="s">
        <v>1376</v>
      </c>
      <c r="N970" s="338">
        <v>1200</v>
      </c>
      <c r="O970" s="461">
        <f>CompletedProjects[[#This Row],[Power Plant Size (MW) or Share]]*0.593*9057*211.9*10^(-9)</f>
        <v>1.36568727828</v>
      </c>
      <c r="P970" s="337">
        <f>CompletedProjects[[#This Row],[Annual Emissions (MMTCO2)]]*40</f>
        <v>54.627491131200003</v>
      </c>
      <c r="Q970" s="139"/>
      <c r="R970" s="153"/>
      <c r="S970" s="154"/>
      <c r="T970" s="254"/>
      <c r="U970" s="30"/>
      <c r="V970" s="30"/>
      <c r="W970" s="30"/>
      <c r="X970" s="30"/>
      <c r="Y970" s="30"/>
      <c r="Z970" s="30"/>
    </row>
    <row r="971" spans="1:26" customFormat="1" ht="229.35">
      <c r="A971" s="167" t="s">
        <v>1309</v>
      </c>
      <c r="B971" s="167" t="s">
        <v>513</v>
      </c>
      <c r="C971" s="167" t="s">
        <v>464</v>
      </c>
      <c r="D971" s="172">
        <f>180000000*'Dev Bank Share by Country'!$C$90</f>
        <v>3096000</v>
      </c>
      <c r="E971" s="173" t="s">
        <v>425</v>
      </c>
      <c r="F971" s="173" t="s">
        <v>427</v>
      </c>
      <c r="G971" s="262" t="s">
        <v>778</v>
      </c>
      <c r="H971" s="173" t="s">
        <v>65</v>
      </c>
      <c r="I971" s="173" t="s">
        <v>1507</v>
      </c>
      <c r="J971" s="173" t="s">
        <v>428</v>
      </c>
      <c r="K971" s="241">
        <v>40078</v>
      </c>
      <c r="L971" s="173" t="s">
        <v>824</v>
      </c>
      <c r="M971" s="262"/>
      <c r="N971" s="256"/>
      <c r="O971" s="461">
        <f>CompletedProjects[[#This Row],[Power Plant Size (MW) or Share]]*0.593*9057*211.9*10^(-9)</f>
        <v>0</v>
      </c>
      <c r="P971" s="337">
        <f>CompletedProjects[[#This Row],[Annual Emissions (MMTCO2)]]*40</f>
        <v>0</v>
      </c>
      <c r="Q971" s="167"/>
      <c r="R971" s="167" t="s">
        <v>400</v>
      </c>
      <c r="S971" s="167" t="s">
        <v>465</v>
      </c>
      <c r="T971" s="167"/>
      <c r="U971" s="30"/>
      <c r="V971" s="30"/>
      <c r="W971" s="30"/>
      <c r="X971" s="30"/>
      <c r="Y971" s="30"/>
      <c r="Z971" s="30"/>
    </row>
    <row r="972" spans="1:26" customFormat="1" ht="100.35">
      <c r="A972" s="167" t="s">
        <v>1309</v>
      </c>
      <c r="B972" s="182" t="s">
        <v>511</v>
      </c>
      <c r="C972" s="182" t="s">
        <v>464</v>
      </c>
      <c r="D972" s="172">
        <f>46500000*'Dev Bank Share by Country'!$G$90</f>
        <v>510048.15304226929</v>
      </c>
      <c r="E972" s="173" t="s">
        <v>423</v>
      </c>
      <c r="F972" s="173" t="s">
        <v>424</v>
      </c>
      <c r="G972" s="262" t="s">
        <v>774</v>
      </c>
      <c r="H972" s="173" t="s">
        <v>65</v>
      </c>
      <c r="I972" s="173" t="s">
        <v>284</v>
      </c>
      <c r="J972" s="173" t="s">
        <v>79</v>
      </c>
      <c r="K972" s="241">
        <v>39898</v>
      </c>
      <c r="L972" s="173" t="s">
        <v>920</v>
      </c>
      <c r="M972" s="273"/>
      <c r="N972" s="256"/>
      <c r="O972" s="461">
        <f>CompletedProjects[[#This Row],[Power Plant Size (MW) or Share]]*0.593*9057*211.9*10^(-9)</f>
        <v>0</v>
      </c>
      <c r="P972" s="337">
        <f>CompletedProjects[[#This Row],[Annual Emissions (MMTCO2)]]*40</f>
        <v>0</v>
      </c>
      <c r="Q972" s="167"/>
      <c r="R972" s="167" t="s">
        <v>400</v>
      </c>
      <c r="S972" s="167" t="s">
        <v>465</v>
      </c>
      <c r="T972" s="167"/>
      <c r="U972" s="30"/>
      <c r="V972" s="30"/>
      <c r="W972" s="30"/>
      <c r="X972" s="30"/>
      <c r="Y972" s="30"/>
      <c r="Z972" s="30"/>
    </row>
    <row r="973" spans="1:26" customFormat="1" ht="71.7">
      <c r="A973" s="167" t="s">
        <v>1309</v>
      </c>
      <c r="B973" s="186" t="s">
        <v>519</v>
      </c>
      <c r="C973" s="167" t="s">
        <v>464</v>
      </c>
      <c r="D973" s="172">
        <f>500000*'Dev Bank Share by Country'!$K$90</f>
        <v>25215</v>
      </c>
      <c r="E973" s="173" t="s">
        <v>531</v>
      </c>
      <c r="F973" s="173" t="s">
        <v>532</v>
      </c>
      <c r="G973" s="262"/>
      <c r="H973" s="173" t="s">
        <v>239</v>
      </c>
      <c r="I973" s="180" t="s">
        <v>283</v>
      </c>
      <c r="J973" s="173" t="s">
        <v>26</v>
      </c>
      <c r="K973" s="241">
        <v>40035</v>
      </c>
      <c r="L973" s="173" t="s">
        <v>1710</v>
      </c>
      <c r="M973" s="262"/>
      <c r="N973" s="337">
        <f>600/13</f>
        <v>46.153846153846153</v>
      </c>
      <c r="O973" s="461">
        <f>CompletedProjects[[#This Row],[Power Plant Size (MW) or Share]]*0.593*9057*211.9*10^(-9)</f>
        <v>5.2526433780000006E-2</v>
      </c>
      <c r="P973" s="337">
        <f>CompletedProjects[[#This Row],[Annual Emissions (MMTCO2)]]*40</f>
        <v>2.1010573512000001</v>
      </c>
      <c r="Q973" s="176"/>
      <c r="R973" s="178" t="s">
        <v>524</v>
      </c>
      <c r="S973" s="167"/>
      <c r="T973" s="178"/>
      <c r="U973" s="30"/>
      <c r="V973" s="30"/>
      <c r="W973" s="30"/>
      <c r="X973" s="30"/>
      <c r="Y973" s="30"/>
      <c r="Z973" s="30"/>
    </row>
    <row r="974" spans="1:26" customFormat="1" ht="272.35000000000002">
      <c r="A974" s="167" t="s">
        <v>1309</v>
      </c>
      <c r="B974" s="167" t="s">
        <v>513</v>
      </c>
      <c r="C974" s="171" t="s">
        <v>464</v>
      </c>
      <c r="D974" s="172">
        <f>29600000*'Dev Bank Share by Country'!$C$90</f>
        <v>509120</v>
      </c>
      <c r="E974" s="173" t="s">
        <v>266</v>
      </c>
      <c r="F974" s="173" t="s">
        <v>444</v>
      </c>
      <c r="G974" s="262" t="s">
        <v>781</v>
      </c>
      <c r="H974" s="173" t="s">
        <v>85</v>
      </c>
      <c r="I974" s="173" t="s">
        <v>284</v>
      </c>
      <c r="J974" s="173" t="s">
        <v>1498</v>
      </c>
      <c r="K974" s="241">
        <v>41163</v>
      </c>
      <c r="L974" s="173" t="s">
        <v>825</v>
      </c>
      <c r="M974" s="262"/>
      <c r="N974" s="256"/>
      <c r="O974" s="461">
        <f>CompletedProjects[[#This Row],[Power Plant Size (MW) or Share]]*0.593*9057*211.9*10^(-9)</f>
        <v>0</v>
      </c>
      <c r="P974" s="337">
        <f>CompletedProjects[[#This Row],[Annual Emissions (MMTCO2)]]*40</f>
        <v>0</v>
      </c>
      <c r="Q974" s="167"/>
      <c r="R974" s="167" t="s">
        <v>400</v>
      </c>
      <c r="S974" s="167" t="s">
        <v>465</v>
      </c>
      <c r="T974" s="167"/>
      <c r="U974" s="30"/>
      <c r="V974" s="30"/>
      <c r="W974" s="30"/>
      <c r="X974" s="30"/>
      <c r="Y974" s="30"/>
      <c r="Z974" s="30"/>
    </row>
    <row r="975" spans="1:26" customFormat="1" ht="43">
      <c r="A975" s="167" t="s">
        <v>1309</v>
      </c>
      <c r="B975" s="182" t="s">
        <v>559</v>
      </c>
      <c r="C975" s="182" t="s">
        <v>464</v>
      </c>
      <c r="D975" s="172">
        <v>159480.45355035088</v>
      </c>
      <c r="E975" s="173" t="s">
        <v>598</v>
      </c>
      <c r="F975" s="173" t="s">
        <v>598</v>
      </c>
      <c r="G975" s="262" t="s">
        <v>798</v>
      </c>
      <c r="H975" s="173" t="s">
        <v>201</v>
      </c>
      <c r="I975" s="173" t="s">
        <v>40</v>
      </c>
      <c r="J975" s="173" t="s">
        <v>40</v>
      </c>
      <c r="K975" s="240">
        <v>40199</v>
      </c>
      <c r="L975" s="269" t="s">
        <v>1691</v>
      </c>
      <c r="M975" s="262"/>
      <c r="N975" s="337"/>
      <c r="O975" s="461">
        <f>CompletedProjects[[#This Row],[Power Plant Size (MW) or Share]]*0.593*9057*211.9*10^(-9)</f>
        <v>0</v>
      </c>
      <c r="P975" s="337">
        <f>CompletedProjects[[#This Row],[Annual Emissions (MMTCO2)]]*40</f>
        <v>0</v>
      </c>
      <c r="Q975" s="176"/>
      <c r="R975" s="178"/>
      <c r="S975" s="167"/>
      <c r="T975" s="178"/>
      <c r="U975" s="30"/>
      <c r="V975" s="30"/>
      <c r="W975" s="30"/>
      <c r="X975" s="30"/>
      <c r="Y975" s="30"/>
      <c r="Z975" s="30"/>
    </row>
    <row r="976" spans="1:26" customFormat="1" ht="157.69999999999999">
      <c r="A976" s="167" t="s">
        <v>1309</v>
      </c>
      <c r="B976" s="167" t="s">
        <v>401</v>
      </c>
      <c r="C976" s="182" t="s">
        <v>464</v>
      </c>
      <c r="D976" s="172">
        <f>2000000*'Dev Bank Share by Country'!$E$90</f>
        <v>16795.894546093234</v>
      </c>
      <c r="E976" s="173" t="s">
        <v>410</v>
      </c>
      <c r="F976" s="173" t="s">
        <v>411</v>
      </c>
      <c r="G976" s="262" t="s">
        <v>777</v>
      </c>
      <c r="H976" s="173" t="s">
        <v>412</v>
      </c>
      <c r="I976" s="173" t="s">
        <v>284</v>
      </c>
      <c r="J976" s="173" t="s">
        <v>1498</v>
      </c>
      <c r="K976" s="241">
        <v>39261</v>
      </c>
      <c r="L976" s="173" t="s">
        <v>916</v>
      </c>
      <c r="M976" s="262"/>
      <c r="N976" s="256"/>
      <c r="O976" s="461">
        <f>CompletedProjects[[#This Row],[Power Plant Size (MW) or Share]]*0.593*9057*211.9*10^(-9)</f>
        <v>0</v>
      </c>
      <c r="P976" s="337">
        <f>CompletedProjects[[#This Row],[Annual Emissions (MMTCO2)]]*40</f>
        <v>0</v>
      </c>
      <c r="Q976" s="167"/>
      <c r="R976" s="167" t="s">
        <v>400</v>
      </c>
      <c r="S976" s="167" t="s">
        <v>633</v>
      </c>
      <c r="T976" s="167"/>
      <c r="U976" s="30"/>
      <c r="V976" s="30"/>
      <c r="W976" s="30"/>
      <c r="X976" s="30"/>
      <c r="Y976" s="30"/>
      <c r="Z976" s="30"/>
    </row>
    <row r="977" spans="1:26" customFormat="1" ht="114.7">
      <c r="A977" s="167" t="s">
        <v>1309</v>
      </c>
      <c r="B977" s="167" t="s">
        <v>513</v>
      </c>
      <c r="C977" s="171" t="s">
        <v>464</v>
      </c>
      <c r="D977" s="172">
        <f>180000000*'Dev Bank Share by Country'!$C$90</f>
        <v>3096000</v>
      </c>
      <c r="E977" s="173" t="s">
        <v>41</v>
      </c>
      <c r="F977" s="173" t="s">
        <v>432</v>
      </c>
      <c r="G977" s="262" t="s">
        <v>773</v>
      </c>
      <c r="H977" s="173" t="s">
        <v>25</v>
      </c>
      <c r="I977" s="180" t="s">
        <v>283</v>
      </c>
      <c r="J977" s="173" t="s">
        <v>26</v>
      </c>
      <c r="K977" s="241">
        <v>40276</v>
      </c>
      <c r="L977" s="173" t="s">
        <v>923</v>
      </c>
      <c r="M977" s="273"/>
      <c r="N977" s="337">
        <f>4800/19/2</f>
        <v>126.31578947368421</v>
      </c>
      <c r="O977" s="461">
        <f>CompletedProjects[[#This Row],[Power Plant Size (MW) or Share]]*0.593*9057*211.9*10^(-9)</f>
        <v>0.14375655560842107</v>
      </c>
      <c r="P977" s="337">
        <f>CompletedProjects[[#This Row],[Annual Emissions (MMTCO2)]]*40</f>
        <v>5.7502622243368426</v>
      </c>
      <c r="Q977" s="167"/>
      <c r="R977" s="178" t="s">
        <v>643</v>
      </c>
      <c r="S977" s="167" t="s">
        <v>465</v>
      </c>
      <c r="T977" s="178"/>
      <c r="U977" s="30"/>
      <c r="V977" s="30"/>
      <c r="W977" s="30"/>
      <c r="X977" s="30"/>
      <c r="Y977" s="30"/>
      <c r="Z977" s="30"/>
    </row>
    <row r="978" spans="1:26" customFormat="1" ht="43">
      <c r="A978" s="181" t="s">
        <v>1309</v>
      </c>
      <c r="B978" s="182" t="s">
        <v>559</v>
      </c>
      <c r="C978" s="182" t="s">
        <v>464</v>
      </c>
      <c r="D978" s="172">
        <v>187868.19317241249</v>
      </c>
      <c r="E978" s="173" t="s">
        <v>592</v>
      </c>
      <c r="F978" s="173" t="s">
        <v>593</v>
      </c>
      <c r="G978" s="262" t="s">
        <v>795</v>
      </c>
      <c r="H978" s="173" t="s">
        <v>201</v>
      </c>
      <c r="I978" s="173" t="s">
        <v>40</v>
      </c>
      <c r="J978" s="173" t="s">
        <v>40</v>
      </c>
      <c r="K978" s="240">
        <v>39854</v>
      </c>
      <c r="L978" s="183" t="s">
        <v>1689</v>
      </c>
      <c r="M978" s="262"/>
      <c r="N978" s="337"/>
      <c r="O978" s="461">
        <f>CompletedProjects[[#This Row],[Power Plant Size (MW) or Share]]*0.593*9057*211.9*10^(-9)</f>
        <v>0</v>
      </c>
      <c r="P978" s="337">
        <f>CompletedProjects[[#This Row],[Annual Emissions (MMTCO2)]]*40</f>
        <v>0</v>
      </c>
      <c r="Q978" s="176"/>
      <c r="R978" s="173" t="s">
        <v>907</v>
      </c>
      <c r="S978" s="167"/>
      <c r="T978" s="173"/>
      <c r="U978" s="30"/>
      <c r="V978" s="30"/>
      <c r="W978" s="30"/>
      <c r="X978" s="30"/>
      <c r="Y978" s="30"/>
      <c r="Z978" s="30"/>
    </row>
    <row r="979" spans="1:26" customFormat="1" ht="100.35">
      <c r="A979" s="167" t="s">
        <v>1309</v>
      </c>
      <c r="B979" s="167" t="s">
        <v>513</v>
      </c>
      <c r="C979" s="167" t="s">
        <v>464</v>
      </c>
      <c r="D979" s="172">
        <f>379060000*'Dev Bank Share by Country'!$C$90</f>
        <v>6519832</v>
      </c>
      <c r="E979" s="173" t="s">
        <v>429</v>
      </c>
      <c r="F979" s="173" t="s">
        <v>430</v>
      </c>
      <c r="G979" s="262" t="s">
        <v>779</v>
      </c>
      <c r="H979" s="173" t="s">
        <v>431</v>
      </c>
      <c r="I979" s="180" t="s">
        <v>283</v>
      </c>
      <c r="J979" s="173" t="s">
        <v>26</v>
      </c>
      <c r="K979" s="241">
        <v>40115</v>
      </c>
      <c r="L979" s="173" t="s">
        <v>922</v>
      </c>
      <c r="M979" s="262"/>
      <c r="N979" s="337">
        <f>600/19/2</f>
        <v>15.789473684210526</v>
      </c>
      <c r="O979" s="461">
        <f>CompletedProjects[[#This Row],[Power Plant Size (MW) or Share]]*0.593*9057*211.9*10^(-9)</f>
        <v>1.7969569451052634E-2</v>
      </c>
      <c r="P979" s="337">
        <f>CompletedProjects[[#This Row],[Annual Emissions (MMTCO2)]]*40</f>
        <v>0.71878277804210533</v>
      </c>
      <c r="Q979" s="167"/>
      <c r="R979" s="178" t="s">
        <v>640</v>
      </c>
      <c r="S979" s="167" t="s">
        <v>633</v>
      </c>
      <c r="T979" s="178"/>
      <c r="U979" s="30"/>
      <c r="V979" s="30"/>
      <c r="W979" s="30"/>
      <c r="X979" s="30"/>
      <c r="Y979" s="30"/>
      <c r="Z979" s="30"/>
    </row>
    <row r="980" spans="1:26" customFormat="1" ht="172">
      <c r="A980" s="167" t="s">
        <v>1309</v>
      </c>
      <c r="B980" s="167" t="s">
        <v>401</v>
      </c>
      <c r="C980" s="171" t="s">
        <v>464</v>
      </c>
      <c r="D980" s="172">
        <f>21000000*'Dev Bank Share by Country'!$E$90</f>
        <v>176356.89273397892</v>
      </c>
      <c r="E980" s="173" t="s">
        <v>451</v>
      </c>
      <c r="F980" s="173" t="s">
        <v>452</v>
      </c>
      <c r="G980" s="262" t="s">
        <v>793</v>
      </c>
      <c r="H980" s="173" t="s">
        <v>453</v>
      </c>
      <c r="I980" s="173" t="s">
        <v>284</v>
      </c>
      <c r="J980" s="173" t="s">
        <v>1498</v>
      </c>
      <c r="K980" s="241">
        <v>41471</v>
      </c>
      <c r="L980" s="173" t="s">
        <v>926</v>
      </c>
      <c r="M980" s="262" t="s">
        <v>898</v>
      </c>
      <c r="N980" s="256"/>
      <c r="O980" s="461">
        <f>CompletedProjects[[#This Row],[Power Plant Size (MW) or Share]]*0.593*9057*211.9*10^(-9)</f>
        <v>0</v>
      </c>
      <c r="P980" s="337">
        <f>CompletedProjects[[#This Row],[Annual Emissions (MMTCO2)]]*40</f>
        <v>0</v>
      </c>
      <c r="Q980" s="167"/>
      <c r="R980" s="167" t="s">
        <v>400</v>
      </c>
      <c r="S980" s="167" t="s">
        <v>633</v>
      </c>
      <c r="T980" s="167" t="s">
        <v>537</v>
      </c>
      <c r="U980" s="30"/>
      <c r="V980" s="30"/>
      <c r="W980" s="30"/>
      <c r="X980" s="30"/>
      <c r="Y980" s="30"/>
      <c r="Z980" s="30"/>
    </row>
    <row r="981" spans="1:26" customFormat="1" ht="172">
      <c r="A981" s="167" t="s">
        <v>1309</v>
      </c>
      <c r="B981" s="167" t="s">
        <v>401</v>
      </c>
      <c r="C981" s="171" t="s">
        <v>464</v>
      </c>
      <c r="D981" s="172">
        <f>12100000*'Dev Bank Share by Country'!$E$90</f>
        <v>101615.16200386405</v>
      </c>
      <c r="E981" s="173" t="s">
        <v>451</v>
      </c>
      <c r="F981" s="173" t="s">
        <v>452</v>
      </c>
      <c r="G981" s="262" t="s">
        <v>793</v>
      </c>
      <c r="H981" s="173" t="s">
        <v>453</v>
      </c>
      <c r="I981" s="173" t="s">
        <v>284</v>
      </c>
      <c r="J981" s="173" t="s">
        <v>1498</v>
      </c>
      <c r="K981" s="241">
        <v>41471</v>
      </c>
      <c r="L981" s="173" t="s">
        <v>926</v>
      </c>
      <c r="M981" s="262" t="s">
        <v>898</v>
      </c>
      <c r="N981" s="256"/>
      <c r="O981" s="461">
        <f>CompletedProjects[[#This Row],[Power Plant Size (MW) or Share]]*0.593*9057*211.9*10^(-9)</f>
        <v>0</v>
      </c>
      <c r="P981" s="337">
        <f>CompletedProjects[[#This Row],[Annual Emissions (MMTCO2)]]*40</f>
        <v>0</v>
      </c>
      <c r="Q981" s="167"/>
      <c r="R981" s="167" t="s">
        <v>400</v>
      </c>
      <c r="S981" s="167" t="s">
        <v>633</v>
      </c>
      <c r="T981" s="167" t="s">
        <v>537</v>
      </c>
      <c r="U981" s="30"/>
      <c r="V981" s="30"/>
      <c r="W981" s="30"/>
      <c r="X981" s="30"/>
      <c r="Y981" s="30"/>
      <c r="Z981" s="30"/>
    </row>
    <row r="982" spans="1:26" customFormat="1" ht="215">
      <c r="A982" s="167" t="s">
        <v>1309</v>
      </c>
      <c r="B982" s="182" t="s">
        <v>511</v>
      </c>
      <c r="C982" s="182" t="s">
        <v>464</v>
      </c>
      <c r="D982" s="172">
        <f>28000000*'Dev Bank Share by Country'!$G$90</f>
        <v>307125.76957383956</v>
      </c>
      <c r="E982" s="173" t="s">
        <v>446</v>
      </c>
      <c r="F982" s="173" t="s">
        <v>447</v>
      </c>
      <c r="G982" s="262" t="s">
        <v>782</v>
      </c>
      <c r="H982" s="173" t="s">
        <v>201</v>
      </c>
      <c r="I982" s="173" t="s">
        <v>284</v>
      </c>
      <c r="J982" s="173" t="s">
        <v>1498</v>
      </c>
      <c r="K982" s="241">
        <v>41333</v>
      </c>
      <c r="L982" s="173" t="s">
        <v>832</v>
      </c>
      <c r="M982" s="262"/>
      <c r="N982" s="256">
        <f>750/19</f>
        <v>39.473684210526315</v>
      </c>
      <c r="O982" s="461">
        <f>CompletedProjects[[#This Row],[Power Plant Size (MW) or Share]]*0.593*9057*211.9*10^(-9)</f>
        <v>4.4923923627631576E-2</v>
      </c>
      <c r="P982" s="337">
        <f>CompletedProjects[[#This Row],[Annual Emissions (MMTCO2)]]*40</f>
        <v>1.7969569451052632</v>
      </c>
      <c r="Q982" s="167"/>
      <c r="R982" s="167" t="s">
        <v>639</v>
      </c>
      <c r="S982" s="167"/>
      <c r="T982" s="167"/>
      <c r="U982" s="30"/>
      <c r="V982" s="30"/>
      <c r="W982" s="30"/>
      <c r="X982" s="30"/>
      <c r="Y982" s="30"/>
      <c r="Z982" s="30"/>
    </row>
    <row r="983" spans="1:26" customFormat="1" ht="28.7">
      <c r="A983" s="167" t="s">
        <v>1309</v>
      </c>
      <c r="B983" s="171" t="s">
        <v>1004</v>
      </c>
      <c r="C983" s="171" t="s">
        <v>336</v>
      </c>
      <c r="D983" s="172">
        <v>462000000</v>
      </c>
      <c r="E983" s="171" t="s">
        <v>1508</v>
      </c>
      <c r="F983" s="173" t="s">
        <v>1007</v>
      </c>
      <c r="G983" s="262" t="s">
        <v>725</v>
      </c>
      <c r="H983" s="180" t="s">
        <v>1024</v>
      </c>
      <c r="I983" s="180" t="s">
        <v>283</v>
      </c>
      <c r="J983" s="171" t="s">
        <v>26</v>
      </c>
      <c r="K983" s="240">
        <v>39083</v>
      </c>
      <c r="L983" s="171" t="s">
        <v>1030</v>
      </c>
      <c r="M983" s="262" t="s">
        <v>1025</v>
      </c>
      <c r="N983" s="463">
        <v>462</v>
      </c>
      <c r="O983" s="461">
        <f>CompletedProjects[[#This Row],[Power Plant Size (MW) or Share]]*0.593*9057*211.9*10^(-9)</f>
        <v>0.52578960213780002</v>
      </c>
      <c r="P983" s="337">
        <f>CompletedProjects[[#This Row],[Annual Emissions (MMTCO2)]]*40</f>
        <v>21.031584085512002</v>
      </c>
      <c r="Q983" s="176"/>
      <c r="R983" s="178"/>
      <c r="S983" s="167"/>
      <c r="T983" s="178"/>
      <c r="U983" s="30"/>
      <c r="V983" s="30"/>
      <c r="W983" s="30"/>
      <c r="X983" s="30"/>
      <c r="Y983" s="30"/>
      <c r="Z983" s="30"/>
    </row>
    <row r="984" spans="1:26" s="146" customFormat="1" ht="28.7">
      <c r="A984" s="167" t="s">
        <v>1309</v>
      </c>
      <c r="B984" s="171" t="s">
        <v>977</v>
      </c>
      <c r="C984" s="171" t="s">
        <v>336</v>
      </c>
      <c r="D984" s="172">
        <v>50000000</v>
      </c>
      <c r="E984" s="171" t="s">
        <v>35</v>
      </c>
      <c r="F984" s="167" t="s">
        <v>986</v>
      </c>
      <c r="G984" s="262"/>
      <c r="H984" s="167" t="s">
        <v>995</v>
      </c>
      <c r="I984" s="180" t="s">
        <v>283</v>
      </c>
      <c r="J984" s="167" t="s">
        <v>26</v>
      </c>
      <c r="K984" s="240">
        <v>39083</v>
      </c>
      <c r="L984" s="171" t="s">
        <v>1023</v>
      </c>
      <c r="M984" s="296"/>
      <c r="N984" s="463">
        <v>240</v>
      </c>
      <c r="O984" s="461">
        <f>CompletedProjects[[#This Row],[Power Plant Size (MW) or Share]]*0.593*9057*211.9*10^(-9)</f>
        <v>0.27313745565600006</v>
      </c>
      <c r="P984" s="337">
        <f>CompletedProjects[[#This Row],[Annual Emissions (MMTCO2)]]*40</f>
        <v>10.925498226240002</v>
      </c>
      <c r="Q984" s="176"/>
      <c r="R984" s="178"/>
      <c r="S984" s="167"/>
      <c r="T984" s="178"/>
      <c r="U984" s="145"/>
      <c r="V984" s="145"/>
      <c r="W984" s="145"/>
      <c r="X984" s="145"/>
      <c r="Y984" s="145"/>
      <c r="Z984" s="145"/>
    </row>
    <row r="985" spans="1:26" customFormat="1" ht="43">
      <c r="A985" s="167" t="s">
        <v>1309</v>
      </c>
      <c r="B985" s="171" t="s">
        <v>511</v>
      </c>
      <c r="C985" s="171" t="s">
        <v>464</v>
      </c>
      <c r="D985" s="172">
        <f>740000000*'Dev Bank Share by Country'!$G$90</f>
        <v>8116895.3387371879</v>
      </c>
      <c r="E985" s="173" t="s">
        <v>418</v>
      </c>
      <c r="F985" s="173" t="s">
        <v>419</v>
      </c>
      <c r="G985" s="262" t="s">
        <v>765</v>
      </c>
      <c r="H985" s="173" t="s">
        <v>144</v>
      </c>
      <c r="I985" s="180" t="s">
        <v>283</v>
      </c>
      <c r="J985" s="183" t="s">
        <v>26</v>
      </c>
      <c r="K985" s="241">
        <v>39520</v>
      </c>
      <c r="L985" s="202" t="s">
        <v>817</v>
      </c>
      <c r="M985" s="262"/>
      <c r="N985" s="256">
        <f>330/19</f>
        <v>17.368421052631579</v>
      </c>
      <c r="O985" s="461">
        <f>CompletedProjects[[#This Row],[Power Plant Size (MW) or Share]]*0.593*9057*211.9*10^(-9)</f>
        <v>1.9766526396157894E-2</v>
      </c>
      <c r="P985" s="337">
        <f>CompletedProjects[[#This Row],[Annual Emissions (MMTCO2)]]*40</f>
        <v>0.79066105584631574</v>
      </c>
      <c r="Q985" s="176"/>
      <c r="R985" s="167" t="s">
        <v>400</v>
      </c>
      <c r="S985" s="167" t="s">
        <v>633</v>
      </c>
      <c r="T985" s="167"/>
      <c r="U985" s="30"/>
      <c r="V985" s="30"/>
      <c r="W985" s="30"/>
      <c r="X985" s="30"/>
      <c r="Y985" s="30"/>
      <c r="Z985" s="30"/>
    </row>
    <row r="986" spans="1:26" customFormat="1" ht="71.7">
      <c r="A986" s="167" t="s">
        <v>1309</v>
      </c>
      <c r="B986" s="186" t="s">
        <v>519</v>
      </c>
      <c r="C986" s="167" t="s">
        <v>464</v>
      </c>
      <c r="D986" s="172">
        <f>350000*'Dev Bank Share by Country'!$K$90</f>
        <v>17650.5</v>
      </c>
      <c r="E986" s="173" t="s">
        <v>542</v>
      </c>
      <c r="F986" s="173" t="s">
        <v>543</v>
      </c>
      <c r="G986" s="262"/>
      <c r="H986" s="173" t="s">
        <v>201</v>
      </c>
      <c r="I986" s="173" t="s">
        <v>40</v>
      </c>
      <c r="J986" s="173" t="s">
        <v>40</v>
      </c>
      <c r="K986" s="241">
        <v>41977</v>
      </c>
      <c r="L986" s="173" t="s">
        <v>1713</v>
      </c>
      <c r="M986" s="262" t="s">
        <v>805</v>
      </c>
      <c r="N986" s="102"/>
      <c r="O986" s="461">
        <f>CompletedProjects[[#This Row],[Power Plant Size (MW) or Share]]*0.593*9057*211.9*10^(-9)</f>
        <v>0</v>
      </c>
      <c r="P986" s="337">
        <f>CompletedProjects[[#This Row],[Annual Emissions (MMTCO2)]]*40</f>
        <v>0</v>
      </c>
      <c r="Q986" s="173"/>
      <c r="R986" s="178"/>
      <c r="S986" s="167"/>
      <c r="T986" s="178"/>
      <c r="U986" s="30"/>
      <c r="V986" s="30"/>
      <c r="W986" s="30"/>
      <c r="X986" s="30"/>
      <c r="Y986" s="30"/>
      <c r="Z986" s="30"/>
    </row>
    <row r="987" spans="1:26" customFormat="1" ht="43">
      <c r="A987" s="218" t="s">
        <v>1309</v>
      </c>
      <c r="B987" s="218" t="s">
        <v>559</v>
      </c>
      <c r="C987" s="218" t="s">
        <v>464</v>
      </c>
      <c r="D987" s="172">
        <v>563181.56407228881</v>
      </c>
      <c r="E987" s="173" t="s">
        <v>602</v>
      </c>
      <c r="F987" s="173" t="s">
        <v>603</v>
      </c>
      <c r="G987" s="262" t="s">
        <v>801</v>
      </c>
      <c r="H987" s="173" t="s">
        <v>39</v>
      </c>
      <c r="I987" s="180" t="s">
        <v>283</v>
      </c>
      <c r="J987" s="173" t="s">
        <v>277</v>
      </c>
      <c r="K987" s="240">
        <v>40561</v>
      </c>
      <c r="L987" s="173" t="s">
        <v>910</v>
      </c>
      <c r="M987" s="262"/>
      <c r="N987" s="337">
        <f>60/12</f>
        <v>5</v>
      </c>
      <c r="O987" s="461">
        <f>CompletedProjects[[#This Row],[Power Plant Size (MW) or Share]]*0.593*9057*211.9*10^(-9)</f>
        <v>5.6903636594999992E-3</v>
      </c>
      <c r="P987" s="337">
        <f>CompletedProjects[[#This Row],[Annual Emissions (MMTCO2)]]*40</f>
        <v>0.22761454637999998</v>
      </c>
      <c r="Q987" s="176"/>
      <c r="R987" s="178" t="s">
        <v>537</v>
      </c>
      <c r="S987" s="167"/>
      <c r="T987" s="178"/>
      <c r="U987" s="30"/>
      <c r="V987" s="30"/>
      <c r="W987" s="30"/>
      <c r="X987" s="30"/>
      <c r="Y987" s="30"/>
      <c r="Z987" s="30"/>
    </row>
    <row r="988" spans="1:26" ht="57.35">
      <c r="A988" s="167" t="s">
        <v>1309</v>
      </c>
      <c r="B988" s="171" t="s">
        <v>559</v>
      </c>
      <c r="C988" s="171" t="s">
        <v>464</v>
      </c>
      <c r="D988" s="172">
        <v>710320.6248466596</v>
      </c>
      <c r="E988" s="173" t="s">
        <v>610</v>
      </c>
      <c r="F988" s="173" t="s">
        <v>610</v>
      </c>
      <c r="G988" s="262" t="s">
        <v>1604</v>
      </c>
      <c r="H988" s="173" t="s">
        <v>368</v>
      </c>
      <c r="I988" s="173" t="s">
        <v>40</v>
      </c>
      <c r="J988" s="173" t="s">
        <v>40</v>
      </c>
      <c r="K988" s="240">
        <v>41264</v>
      </c>
      <c r="L988" s="173" t="s">
        <v>1695</v>
      </c>
      <c r="M988" s="262"/>
      <c r="N988" s="337"/>
      <c r="O988" s="461">
        <f>CompletedProjects[[#This Row],[Power Plant Size (MW) or Share]]*0.593*9057*211.9*10^(-9)</f>
        <v>0</v>
      </c>
      <c r="P988" s="337">
        <f>CompletedProjects[[#This Row],[Annual Emissions (MMTCO2)]]*40</f>
        <v>0</v>
      </c>
      <c r="Q988" s="176"/>
      <c r="R988" s="178"/>
      <c r="S988" s="167"/>
      <c r="T988" s="178"/>
      <c r="U988" s="22"/>
      <c r="V988" s="2"/>
      <c r="X988" s="30"/>
      <c r="Y988" s="2"/>
    </row>
    <row r="989" spans="1:26" customFormat="1" ht="258">
      <c r="A989" s="167" t="s">
        <v>1309</v>
      </c>
      <c r="B989" s="167" t="s">
        <v>401</v>
      </c>
      <c r="C989" s="182" t="s">
        <v>464</v>
      </c>
      <c r="D989" s="172">
        <f>11000000*'Dev Bank Share by Country'!$E$90</f>
        <v>92377.420003512772</v>
      </c>
      <c r="E989" s="173" t="s">
        <v>420</v>
      </c>
      <c r="F989" s="173" t="s">
        <v>421</v>
      </c>
      <c r="G989" s="262" t="s">
        <v>769</v>
      </c>
      <c r="H989" s="173" t="s">
        <v>422</v>
      </c>
      <c r="I989" s="180" t="s">
        <v>283</v>
      </c>
      <c r="J989" s="173" t="s">
        <v>277</v>
      </c>
      <c r="K989" s="241">
        <v>39777</v>
      </c>
      <c r="L989" s="197"/>
      <c r="M989" s="273"/>
      <c r="N989" s="256"/>
      <c r="O989" s="461">
        <f>CompletedProjects[[#This Row],[Power Plant Size (MW) or Share]]*0.593*9057*211.9*10^(-9)</f>
        <v>0</v>
      </c>
      <c r="P989" s="337">
        <f>CompletedProjects[[#This Row],[Annual Emissions (MMTCO2)]]*40</f>
        <v>0</v>
      </c>
      <c r="Q989" s="167"/>
      <c r="R989" s="173" t="s">
        <v>834</v>
      </c>
      <c r="S989" s="167" t="s">
        <v>633</v>
      </c>
      <c r="T989" s="173"/>
      <c r="U989" s="30"/>
      <c r="V989" s="30"/>
      <c r="W989" s="30"/>
      <c r="X989" s="30"/>
      <c r="Y989" s="30"/>
      <c r="Z989" s="30"/>
    </row>
    <row r="990" spans="1:26" customFormat="1" ht="43">
      <c r="A990" s="167" t="s">
        <v>1309</v>
      </c>
      <c r="B990" s="171" t="s">
        <v>977</v>
      </c>
      <c r="C990" s="171" t="s">
        <v>336</v>
      </c>
      <c r="D990" s="172">
        <v>80000000</v>
      </c>
      <c r="E990" s="171" t="s">
        <v>978</v>
      </c>
      <c r="F990" s="178" t="s">
        <v>1011</v>
      </c>
      <c r="G990" s="262"/>
      <c r="H990" s="173" t="s">
        <v>239</v>
      </c>
      <c r="I990" s="180" t="s">
        <v>283</v>
      </c>
      <c r="J990" s="167" t="s">
        <v>26</v>
      </c>
      <c r="K990" s="240">
        <v>39448</v>
      </c>
      <c r="L990" s="171" t="s">
        <v>1023</v>
      </c>
      <c r="M990" s="295"/>
      <c r="N990" s="463">
        <v>3170</v>
      </c>
      <c r="O990" s="461">
        <f>CompletedProjects[[#This Row],[Power Plant Size (MW) or Share]]*0.593*9057*211.9*10^(-9)</f>
        <v>3.6076905601229998</v>
      </c>
      <c r="P990" s="337">
        <f>CompletedProjects[[#This Row],[Annual Emissions (MMTCO2)]]*40</f>
        <v>144.30762240491998</v>
      </c>
      <c r="Q990" s="176"/>
      <c r="R990" s="178"/>
      <c r="S990" s="167"/>
      <c r="T990" s="178"/>
      <c r="U990" s="30"/>
      <c r="V990" s="30"/>
      <c r="W990" s="30"/>
      <c r="X990" s="30"/>
      <c r="Y990" s="30"/>
      <c r="Z990" s="30"/>
    </row>
    <row r="991" spans="1:26" customFormat="1" ht="86">
      <c r="A991" s="167" t="s">
        <v>1309</v>
      </c>
      <c r="B991" s="171" t="s">
        <v>511</v>
      </c>
      <c r="C991" s="171" t="s">
        <v>464</v>
      </c>
      <c r="D991" s="172">
        <f>45500000*'Dev Bank Share by Country'!$G$90</f>
        <v>499079.37555748929</v>
      </c>
      <c r="E991" s="173" t="s">
        <v>440</v>
      </c>
      <c r="F991" s="173" t="s">
        <v>441</v>
      </c>
      <c r="G991" s="262" t="s">
        <v>771</v>
      </c>
      <c r="H991" s="173" t="s">
        <v>442</v>
      </c>
      <c r="I991" s="173" t="s">
        <v>40</v>
      </c>
      <c r="J991" s="173" t="s">
        <v>443</v>
      </c>
      <c r="K991" s="241">
        <v>41060</v>
      </c>
      <c r="L991" s="173" t="s">
        <v>924</v>
      </c>
      <c r="M991" s="273"/>
      <c r="N991" s="256"/>
      <c r="O991" s="461">
        <f>CompletedProjects[[#This Row],[Power Plant Size (MW) or Share]]*0.593*9057*211.9*10^(-9)</f>
        <v>0</v>
      </c>
      <c r="P991" s="337">
        <f>CompletedProjects[[#This Row],[Annual Emissions (MMTCO2)]]*40</f>
        <v>0</v>
      </c>
      <c r="Q991" s="167"/>
      <c r="R991" s="167" t="s">
        <v>400</v>
      </c>
      <c r="S991" s="167" t="s">
        <v>465</v>
      </c>
      <c r="T991" s="167"/>
      <c r="U991" s="30"/>
      <c r="V991" s="30"/>
      <c r="W991" s="30"/>
      <c r="X991" s="30"/>
      <c r="Y991" s="30"/>
      <c r="Z991" s="30"/>
    </row>
    <row r="992" spans="1:26" customFormat="1" ht="71.7">
      <c r="A992" s="167" t="s">
        <v>1309</v>
      </c>
      <c r="B992" s="186" t="s">
        <v>519</v>
      </c>
      <c r="C992" s="167" t="s">
        <v>464</v>
      </c>
      <c r="D992" s="172">
        <f>900525000*'Dev Bank Share by Country'!$K$90</f>
        <v>45413475.75</v>
      </c>
      <c r="E992" s="173" t="s">
        <v>510</v>
      </c>
      <c r="F992" s="173" t="s">
        <v>541</v>
      </c>
      <c r="G992" s="262"/>
      <c r="H992" s="173" t="s">
        <v>442</v>
      </c>
      <c r="I992" s="180" t="s">
        <v>283</v>
      </c>
      <c r="J992" s="173" t="s">
        <v>26</v>
      </c>
      <c r="K992" s="241">
        <v>41617</v>
      </c>
      <c r="L992" s="178" t="s">
        <v>1712</v>
      </c>
      <c r="M992" s="262" t="s">
        <v>902</v>
      </c>
      <c r="N992" s="337">
        <f>600/13</f>
        <v>46.153846153846153</v>
      </c>
      <c r="O992" s="461">
        <f>CompletedProjects[[#This Row],[Power Plant Size (MW) or Share]]*0.593*9057*211.9*10^(-9)</f>
        <v>5.2526433780000006E-2</v>
      </c>
      <c r="P992" s="337">
        <f>CompletedProjects[[#This Row],[Annual Emissions (MMTCO2)]]*40</f>
        <v>2.1010573512000001</v>
      </c>
      <c r="Q992" s="176"/>
      <c r="R992" s="178" t="s">
        <v>524</v>
      </c>
      <c r="S992" s="167"/>
      <c r="T992" s="178"/>
      <c r="U992" s="30"/>
      <c r="V992" s="30"/>
      <c r="W992" s="30"/>
      <c r="X992" s="30"/>
      <c r="Y992" s="30"/>
      <c r="Z992" s="30"/>
    </row>
    <row r="993" spans="1:26" customFormat="1" ht="57.35">
      <c r="A993" s="167" t="s">
        <v>1309</v>
      </c>
      <c r="B993" s="182" t="s">
        <v>977</v>
      </c>
      <c r="C993" s="182" t="s">
        <v>336</v>
      </c>
      <c r="D993" s="172">
        <v>500000000</v>
      </c>
      <c r="E993" s="183" t="s">
        <v>1395</v>
      </c>
      <c r="F993" s="183" t="s">
        <v>1393</v>
      </c>
      <c r="G993" s="267" t="s">
        <v>1394</v>
      </c>
      <c r="H993" s="183" t="s">
        <v>65</v>
      </c>
      <c r="I993" s="180" t="s">
        <v>283</v>
      </c>
      <c r="J993" s="183" t="s">
        <v>26</v>
      </c>
      <c r="K993" s="242">
        <v>39562</v>
      </c>
      <c r="L993" s="173" t="s">
        <v>525</v>
      </c>
      <c r="M993" s="262" t="s">
        <v>821</v>
      </c>
      <c r="N993" s="338">
        <f>4000/3</f>
        <v>1333.3333333333333</v>
      </c>
      <c r="O993" s="461">
        <f>CompletedProjects[[#This Row],[Power Plant Size (MW) or Share]]*0.593*9057*211.9*10^(-9)</f>
        <v>1.5174303092000001</v>
      </c>
      <c r="P993" s="337">
        <f>CompletedProjects[[#This Row],[Annual Emissions (MMTCO2)]]*40</f>
        <v>60.697212368000002</v>
      </c>
      <c r="Q993" s="169"/>
      <c r="R993" s="183" t="s">
        <v>1396</v>
      </c>
      <c r="S993" s="181"/>
      <c r="T993" s="183"/>
      <c r="U993" s="30"/>
      <c r="V993" s="30"/>
      <c r="W993" s="30"/>
      <c r="X993" s="30"/>
      <c r="Y993" s="30"/>
      <c r="Z993" s="30"/>
    </row>
    <row r="994" spans="1:26" customFormat="1" ht="28.7">
      <c r="A994" s="167" t="s">
        <v>1309</v>
      </c>
      <c r="B994" s="182" t="s">
        <v>519</v>
      </c>
      <c r="C994" s="182" t="s">
        <v>464</v>
      </c>
      <c r="D994" s="172">
        <f>70500000*'Dev Bank Share by Country'!$K$90</f>
        <v>3555315</v>
      </c>
      <c r="E994" s="183" t="s">
        <v>1400</v>
      </c>
      <c r="F994" s="183" t="s">
        <v>1399</v>
      </c>
      <c r="G994" s="267" t="s">
        <v>1401</v>
      </c>
      <c r="H994" s="183" t="s">
        <v>273</v>
      </c>
      <c r="I994" s="180" t="s">
        <v>283</v>
      </c>
      <c r="J994" s="183" t="s">
        <v>26</v>
      </c>
      <c r="K994" s="242">
        <v>40813</v>
      </c>
      <c r="L994" s="183" t="s">
        <v>1711</v>
      </c>
      <c r="M994" s="267"/>
      <c r="N994" s="338"/>
      <c r="O994" s="461">
        <f>CompletedProjects[[#This Row],[Power Plant Size (MW) or Share]]*0.593*9057*211.9*10^(-9)</f>
        <v>0</v>
      </c>
      <c r="P994" s="337">
        <f>CompletedProjects[[#This Row],[Annual Emissions (MMTCO2)]]*40</f>
        <v>0</v>
      </c>
      <c r="Q994" s="169"/>
      <c r="R994" s="185"/>
      <c r="S994" s="181"/>
      <c r="T994" s="185"/>
      <c r="U994" s="30"/>
      <c r="V994" s="30"/>
      <c r="W994" s="30"/>
      <c r="X994" s="30"/>
      <c r="Y994" s="30"/>
      <c r="Z994" s="30"/>
    </row>
    <row r="995" spans="1:26" customFormat="1" ht="57.35">
      <c r="A995" s="167" t="s">
        <v>1309</v>
      </c>
      <c r="B995" s="186" t="s">
        <v>519</v>
      </c>
      <c r="C995" s="167" t="s">
        <v>464</v>
      </c>
      <c r="D995" s="172">
        <f>200000000*'Dev Bank Share by Country'!$K$90</f>
        <v>10086000</v>
      </c>
      <c r="E995" s="173" t="s">
        <v>413</v>
      </c>
      <c r="F995" s="173" t="s">
        <v>523</v>
      </c>
      <c r="G995" s="262"/>
      <c r="H995" s="173" t="s">
        <v>95</v>
      </c>
      <c r="I995" s="180" t="s">
        <v>283</v>
      </c>
      <c r="J995" s="173" t="s">
        <v>277</v>
      </c>
      <c r="K995" s="241">
        <v>39554</v>
      </c>
      <c r="L995" s="167" t="s">
        <v>1319</v>
      </c>
      <c r="M995" s="262"/>
      <c r="N995" s="256">
        <f>600/13/2</f>
        <v>23.076923076923077</v>
      </c>
      <c r="O995" s="461">
        <f>CompletedProjects[[#This Row],[Power Plant Size (MW) or Share]]*0.593*9057*211.9*10^(-9)</f>
        <v>2.6263216890000003E-2</v>
      </c>
      <c r="P995" s="337">
        <f>CompletedProjects[[#This Row],[Annual Emissions (MMTCO2)]]*40</f>
        <v>1.0505286756000001</v>
      </c>
      <c r="Q995" s="203"/>
      <c r="R995" s="167" t="s">
        <v>641</v>
      </c>
      <c r="S995" s="167"/>
      <c r="T995" s="167"/>
      <c r="U995" s="30"/>
      <c r="V995" s="30"/>
      <c r="W995" s="30"/>
      <c r="X995" s="30"/>
      <c r="Y995" s="30"/>
      <c r="Z995" s="30"/>
    </row>
    <row r="996" spans="1:26" customFormat="1" ht="43">
      <c r="A996" s="167" t="s">
        <v>1309</v>
      </c>
      <c r="B996" s="186" t="s">
        <v>519</v>
      </c>
      <c r="C996" s="167" t="s">
        <v>464</v>
      </c>
      <c r="D996" s="172">
        <f>27860000*'Dev Bank Share by Country'!$K$90</f>
        <v>1404979.8</v>
      </c>
      <c r="E996" s="173" t="s">
        <v>520</v>
      </c>
      <c r="F996" s="173" t="s">
        <v>521</v>
      </c>
      <c r="G996" s="262"/>
      <c r="H996" s="173" t="s">
        <v>63</v>
      </c>
      <c r="I996" s="180" t="s">
        <v>283</v>
      </c>
      <c r="J996" s="173" t="s">
        <v>26</v>
      </c>
      <c r="K996" s="241">
        <v>39357</v>
      </c>
      <c r="L996" s="167" t="s">
        <v>1320</v>
      </c>
      <c r="M996" s="262"/>
      <c r="N996" s="256">
        <f>1080/13</f>
        <v>83.07692307692308</v>
      </c>
      <c r="O996" s="461">
        <f>CompletedProjects[[#This Row],[Power Plant Size (MW) or Share]]*0.593*9057*211.9*10^(-9)</f>
        <v>9.4547580804000012E-2</v>
      </c>
      <c r="P996" s="337">
        <f>CompletedProjects[[#This Row],[Annual Emissions (MMTCO2)]]*40</f>
        <v>3.7819032321600003</v>
      </c>
      <c r="Q996" s="203"/>
      <c r="R996" s="167" t="s">
        <v>522</v>
      </c>
      <c r="S996" s="167"/>
      <c r="T996" s="167"/>
      <c r="U996" s="30"/>
      <c r="V996" s="30"/>
      <c r="W996" s="30"/>
      <c r="X996" s="30"/>
      <c r="Y996" s="30"/>
      <c r="Z996" s="30"/>
    </row>
    <row r="997" spans="1:26" customFormat="1" ht="114.7">
      <c r="A997" s="181" t="s">
        <v>1309</v>
      </c>
      <c r="B997" s="171" t="s">
        <v>559</v>
      </c>
      <c r="C997" s="171" t="s">
        <v>464</v>
      </c>
      <c r="D997" s="172">
        <v>2023013.8552251642</v>
      </c>
      <c r="E997" s="173" t="s">
        <v>560</v>
      </c>
      <c r="F997" s="173" t="s">
        <v>561</v>
      </c>
      <c r="G997" s="262" t="s">
        <v>790</v>
      </c>
      <c r="H997" s="173" t="s">
        <v>56</v>
      </c>
      <c r="I997" s="173" t="s">
        <v>284</v>
      </c>
      <c r="J997" s="173" t="s">
        <v>79</v>
      </c>
      <c r="K997" s="240">
        <v>42278</v>
      </c>
      <c r="L997" s="173" t="s">
        <v>865</v>
      </c>
      <c r="M997" s="262" t="s">
        <v>866</v>
      </c>
      <c r="N997" s="337"/>
      <c r="O997" s="461">
        <f>CompletedProjects[[#This Row],[Power Plant Size (MW) or Share]]*0.593*9057*211.9*10^(-9)</f>
        <v>0</v>
      </c>
      <c r="P997" s="337">
        <f>CompletedProjects[[#This Row],[Annual Emissions (MMTCO2)]]*40</f>
        <v>0</v>
      </c>
      <c r="Q997" s="176"/>
      <c r="R997" s="178"/>
      <c r="S997" s="167"/>
      <c r="T997" s="178"/>
      <c r="U997" s="30"/>
      <c r="V997" s="30"/>
      <c r="W997" s="30"/>
      <c r="X997" s="30"/>
      <c r="Y997" s="30"/>
      <c r="Z997" s="30"/>
    </row>
    <row r="998" spans="1:26" customFormat="1" ht="28.7">
      <c r="A998" s="183" t="s">
        <v>1309</v>
      </c>
      <c r="B998" s="183" t="s">
        <v>508</v>
      </c>
      <c r="C998" s="183" t="s">
        <v>464</v>
      </c>
      <c r="D998" s="172">
        <f>147000000*'Dev Bank Share by Country'!$O$90</f>
        <v>3232.5268110420288</v>
      </c>
      <c r="E998" s="173" t="s">
        <v>471</v>
      </c>
      <c r="F998" s="173" t="s">
        <v>472</v>
      </c>
      <c r="G998" s="262" t="s">
        <v>930</v>
      </c>
      <c r="H998" s="173" t="s">
        <v>473</v>
      </c>
      <c r="I998" s="180" t="s">
        <v>283</v>
      </c>
      <c r="J998" s="173" t="s">
        <v>26</v>
      </c>
      <c r="K998" s="241">
        <v>39892</v>
      </c>
      <c r="L998" s="197"/>
      <c r="M998" s="262"/>
      <c r="N998" s="150">
        <f>720/12</f>
        <v>60</v>
      </c>
      <c r="O998" s="461">
        <f>CompletedProjects[[#This Row],[Power Plant Size (MW) or Share]]*0.593*9057*211.9*10^(-9)</f>
        <v>6.8284363914000015E-2</v>
      </c>
      <c r="P998" s="337">
        <f>CompletedProjects[[#This Row],[Annual Emissions (MMTCO2)]]*40</f>
        <v>2.7313745565600005</v>
      </c>
      <c r="Q998" s="203"/>
      <c r="R998" s="173"/>
      <c r="S998" s="167"/>
      <c r="T998" s="173"/>
      <c r="U998" s="30"/>
      <c r="V998" s="30"/>
      <c r="W998" s="30"/>
      <c r="X998" s="30"/>
      <c r="Y998" s="30"/>
      <c r="Z998" s="30"/>
    </row>
    <row r="999" spans="1:26" customFormat="1" ht="43">
      <c r="A999" s="173" t="s">
        <v>1309</v>
      </c>
      <c r="B999" s="183" t="s">
        <v>508</v>
      </c>
      <c r="C999" s="183" t="s">
        <v>464</v>
      </c>
      <c r="D999" s="172">
        <f>50000000*'Dev Bank Share by Country'!$O$90</f>
        <v>1099.4989153204181</v>
      </c>
      <c r="E999" s="173" t="s">
        <v>475</v>
      </c>
      <c r="F999" s="173" t="s">
        <v>476</v>
      </c>
      <c r="G999" s="262" t="s">
        <v>931</v>
      </c>
      <c r="H999" s="173" t="s">
        <v>473</v>
      </c>
      <c r="I999" s="180" t="s">
        <v>283</v>
      </c>
      <c r="J999" s="173" t="s">
        <v>26</v>
      </c>
      <c r="K999" s="241">
        <v>39892</v>
      </c>
      <c r="L999" s="197"/>
      <c r="M999" s="262"/>
      <c r="N999" s="462">
        <f>360/12</f>
        <v>30</v>
      </c>
      <c r="O999" s="461">
        <f>CompletedProjects[[#This Row],[Power Plant Size (MW) or Share]]*0.593*9057*211.9*10^(-9)</f>
        <v>3.4142181957000008E-2</v>
      </c>
      <c r="P999" s="337">
        <f>CompletedProjects[[#This Row],[Annual Emissions (MMTCO2)]]*40</f>
        <v>1.3656872782800002</v>
      </c>
      <c r="Q999" s="203"/>
      <c r="R999" s="173"/>
      <c r="S999" s="167"/>
      <c r="T999" s="173"/>
      <c r="U999" s="30"/>
      <c r="V999" s="30"/>
      <c r="W999" s="30"/>
      <c r="X999" s="30"/>
      <c r="Y999" s="30"/>
      <c r="Z999" s="30"/>
    </row>
    <row r="1000" spans="1:26" customFormat="1" ht="86">
      <c r="A1000" s="167" t="s">
        <v>1309</v>
      </c>
      <c r="B1000" s="182" t="s">
        <v>511</v>
      </c>
      <c r="C1000" s="182" t="s">
        <v>464</v>
      </c>
      <c r="D1000" s="172">
        <f>8000000*'Dev Bank Share by Country'!$G$90</f>
        <v>87750.219878239877</v>
      </c>
      <c r="E1000" s="173" t="s">
        <v>405</v>
      </c>
      <c r="F1000" s="173" t="s">
        <v>406</v>
      </c>
      <c r="G1000" s="262" t="s">
        <v>786</v>
      </c>
      <c r="H1000" s="173" t="s">
        <v>65</v>
      </c>
      <c r="I1000" s="180" t="s">
        <v>283</v>
      </c>
      <c r="J1000" s="173" t="s">
        <v>26</v>
      </c>
      <c r="K1000" s="241">
        <v>39234</v>
      </c>
      <c r="L1000" s="173" t="s">
        <v>815</v>
      </c>
      <c r="M1000" s="262" t="s">
        <v>806</v>
      </c>
      <c r="N1000" s="256">
        <f>600/19</f>
        <v>31.578947368421051</v>
      </c>
      <c r="O1000" s="461">
        <f>CompletedProjects[[#This Row],[Power Plant Size (MW) or Share]]*0.593*9057*211.9*10^(-9)</f>
        <v>3.5939138902105268E-2</v>
      </c>
      <c r="P1000" s="337">
        <f>CompletedProjects[[#This Row],[Annual Emissions (MMTCO2)]]*40</f>
        <v>1.4375655560842107</v>
      </c>
      <c r="Q1000" s="167"/>
      <c r="R1000" s="167" t="s">
        <v>467</v>
      </c>
      <c r="S1000" s="167" t="s">
        <v>633</v>
      </c>
      <c r="T1000" s="167"/>
      <c r="U1000" s="30"/>
      <c r="V1000" s="30"/>
      <c r="W1000" s="30"/>
      <c r="X1000" s="30"/>
      <c r="Y1000" s="30"/>
      <c r="Z1000" s="30"/>
    </row>
    <row r="1001" spans="1:26" customFormat="1" ht="71.7">
      <c r="A1001" s="167" t="s">
        <v>1309</v>
      </c>
      <c r="B1001" s="186" t="s">
        <v>519</v>
      </c>
      <c r="C1001" s="167" t="s">
        <v>464</v>
      </c>
      <c r="D1001" s="172">
        <f>902850000*'Dev Bank Share by Country'!$K$90</f>
        <v>45530725.5</v>
      </c>
      <c r="E1001" s="173" t="s">
        <v>91</v>
      </c>
      <c r="F1001" s="173" t="s">
        <v>536</v>
      </c>
      <c r="G1001" s="262"/>
      <c r="H1001" s="173" t="s">
        <v>63</v>
      </c>
      <c r="I1001" s="180" t="s">
        <v>283</v>
      </c>
      <c r="J1001" s="173" t="s">
        <v>26</v>
      </c>
      <c r="K1001" s="241">
        <v>40168</v>
      </c>
      <c r="L1001" s="173" t="s">
        <v>1323</v>
      </c>
      <c r="M1001" s="262"/>
      <c r="N1001" s="337"/>
      <c r="O1001" s="461">
        <f>CompletedProjects[[#This Row],[Power Plant Size (MW) or Share]]*0.593*9057*211.9*10^(-9)</f>
        <v>0</v>
      </c>
      <c r="P1001" s="337">
        <f>CompletedProjects[[#This Row],[Annual Emissions (MMTCO2)]]*40</f>
        <v>0</v>
      </c>
      <c r="Q1001" s="176"/>
      <c r="R1001" s="178" t="s">
        <v>537</v>
      </c>
      <c r="S1001" s="167"/>
      <c r="T1001" s="178"/>
      <c r="U1001" s="30"/>
      <c r="V1001" s="30"/>
      <c r="W1001" s="30"/>
      <c r="X1001" s="30"/>
      <c r="Y1001" s="30"/>
      <c r="Z1001" s="30"/>
    </row>
    <row r="1002" spans="1:26" customFormat="1" ht="114.7">
      <c r="A1002" s="167" t="s">
        <v>1309</v>
      </c>
      <c r="B1002" s="182" t="s">
        <v>511</v>
      </c>
      <c r="C1002" s="182" t="s">
        <v>464</v>
      </c>
      <c r="D1002" s="172">
        <f>275000000*'Dev Bank Share by Country'!$G$90</f>
        <v>3016413.8083144957</v>
      </c>
      <c r="E1002" s="173" t="s">
        <v>413</v>
      </c>
      <c r="F1002" s="173" t="s">
        <v>413</v>
      </c>
      <c r="G1002" s="262" t="s">
        <v>766</v>
      </c>
      <c r="H1002" s="173" t="s">
        <v>95</v>
      </c>
      <c r="I1002" s="180" t="s">
        <v>283</v>
      </c>
      <c r="J1002" s="173" t="s">
        <v>277</v>
      </c>
      <c r="K1002" s="241">
        <v>39394</v>
      </c>
      <c r="L1002" s="173" t="s">
        <v>917</v>
      </c>
      <c r="M1002" s="262"/>
      <c r="N1002" s="256">
        <f>600/7/2</f>
        <v>42.857142857142854</v>
      </c>
      <c r="O1002" s="461">
        <f>CompletedProjects[[#This Row],[Power Plant Size (MW) or Share]]*0.593*9057*211.9*10^(-9)</f>
        <v>4.8774545652857132E-2</v>
      </c>
      <c r="P1002" s="337">
        <f>CompletedProjects[[#This Row],[Annual Emissions (MMTCO2)]]*40</f>
        <v>1.9509818261142853</v>
      </c>
      <c r="Q1002" s="167"/>
      <c r="R1002" s="167" t="s">
        <v>640</v>
      </c>
      <c r="S1002" s="167" t="s">
        <v>465</v>
      </c>
      <c r="T1002" s="167"/>
      <c r="U1002" s="30"/>
      <c r="V1002" s="30"/>
      <c r="W1002" s="30"/>
      <c r="X1002" s="30"/>
      <c r="Y1002" s="30"/>
      <c r="Z1002" s="30"/>
    </row>
    <row r="1003" spans="1:26" customFormat="1" ht="28.7">
      <c r="A1003" s="183" t="s">
        <v>1309</v>
      </c>
      <c r="B1003" s="173" t="s">
        <v>509</v>
      </c>
      <c r="C1003" s="173" t="s">
        <v>464</v>
      </c>
      <c r="D1003" s="172">
        <v>623163.14080634096</v>
      </c>
      <c r="E1003" s="173" t="s">
        <v>429</v>
      </c>
      <c r="F1003" s="173" t="s">
        <v>430</v>
      </c>
      <c r="G1003" s="262" t="s">
        <v>928</v>
      </c>
      <c r="H1003" s="173" t="s">
        <v>431</v>
      </c>
      <c r="I1003" s="180" t="s">
        <v>283</v>
      </c>
      <c r="J1003" s="173" t="s">
        <v>26</v>
      </c>
      <c r="K1003" s="241">
        <v>40114</v>
      </c>
      <c r="L1003" s="173"/>
      <c r="M1003" s="262"/>
      <c r="N1003" s="337">
        <f>600/15/2</f>
        <v>20</v>
      </c>
      <c r="O1003" s="461">
        <f>CompletedProjects[[#This Row],[Power Plant Size (MW) or Share]]*0.593*9057*211.9*10^(-9)</f>
        <v>2.2761454637999997E-2</v>
      </c>
      <c r="P1003" s="337">
        <f>CompletedProjects[[#This Row],[Annual Emissions (MMTCO2)]]*40</f>
        <v>0.91045818551999991</v>
      </c>
      <c r="Q1003" s="176"/>
      <c r="R1003" s="178" t="s">
        <v>467</v>
      </c>
      <c r="S1003" s="167"/>
      <c r="T1003" s="178"/>
      <c r="U1003" s="30"/>
      <c r="V1003" s="30"/>
      <c r="W1003" s="30"/>
      <c r="X1003" s="30"/>
      <c r="Y1003" s="30"/>
      <c r="Z1003" s="30"/>
    </row>
    <row r="1004" spans="1:26" customFormat="1" ht="28.7">
      <c r="A1004" s="167" t="s">
        <v>1309</v>
      </c>
      <c r="B1004" s="171" t="s">
        <v>509</v>
      </c>
      <c r="C1004" s="171" t="s">
        <v>464</v>
      </c>
      <c r="D1004" s="172">
        <v>12591420.040024795</v>
      </c>
      <c r="E1004" s="173" t="s">
        <v>41</v>
      </c>
      <c r="F1004" s="173" t="s">
        <v>468</v>
      </c>
      <c r="G1004" s="262" t="s">
        <v>927</v>
      </c>
      <c r="H1004" s="173" t="s">
        <v>25</v>
      </c>
      <c r="I1004" s="180" t="s">
        <v>283</v>
      </c>
      <c r="J1004" s="173" t="s">
        <v>26</v>
      </c>
      <c r="K1004" s="241">
        <v>40142</v>
      </c>
      <c r="L1004" s="173"/>
      <c r="M1004" s="262"/>
      <c r="N1004" s="337">
        <f>4800/15/2</f>
        <v>160</v>
      </c>
      <c r="O1004" s="461">
        <f>CompletedProjects[[#This Row],[Power Plant Size (MW) or Share]]*0.593*9057*211.9*10^(-9)</f>
        <v>0.18209163710399998</v>
      </c>
      <c r="P1004" s="337">
        <f>CompletedProjects[[#This Row],[Annual Emissions (MMTCO2)]]*40</f>
        <v>7.2836654841599993</v>
      </c>
      <c r="Q1004" s="176"/>
      <c r="R1004" s="178" t="s">
        <v>642</v>
      </c>
      <c r="S1004" s="167"/>
      <c r="T1004" s="178"/>
      <c r="U1004" s="30"/>
      <c r="V1004" s="30"/>
      <c r="W1004" s="30"/>
      <c r="X1004" s="30"/>
      <c r="Y1004" s="30"/>
      <c r="Z1004" s="30"/>
    </row>
    <row r="1005" spans="1:26" customFormat="1" ht="43">
      <c r="A1005" s="181" t="s">
        <v>1309</v>
      </c>
      <c r="B1005" s="171" t="s">
        <v>509</v>
      </c>
      <c r="C1005" s="171" t="s">
        <v>464</v>
      </c>
      <c r="D1005" s="172">
        <v>394626.27164999949</v>
      </c>
      <c r="E1005" s="173" t="s">
        <v>469</v>
      </c>
      <c r="F1005" s="173" t="s">
        <v>516</v>
      </c>
      <c r="G1005" s="262" t="s">
        <v>929</v>
      </c>
      <c r="H1005" s="173" t="s">
        <v>458</v>
      </c>
      <c r="I1005" s="180" t="s">
        <v>283</v>
      </c>
      <c r="J1005" s="173" t="s">
        <v>26</v>
      </c>
      <c r="K1005" s="241">
        <v>40142</v>
      </c>
      <c r="L1005" s="173"/>
      <c r="M1005" s="262"/>
      <c r="N1005" s="150">
        <f>125/15</f>
        <v>8.3333333333333339</v>
      </c>
      <c r="O1005" s="461">
        <f>CompletedProjects[[#This Row],[Power Plant Size (MW) or Share]]*0.593*9057*211.9*10^(-9)</f>
        <v>9.4839394324999996E-3</v>
      </c>
      <c r="P1005" s="337">
        <f>CompletedProjects[[#This Row],[Annual Emissions (MMTCO2)]]*40</f>
        <v>0.37935757729999997</v>
      </c>
      <c r="Q1005" s="203"/>
      <c r="R1005" s="167" t="s">
        <v>470</v>
      </c>
      <c r="S1005" s="167"/>
      <c r="T1005" s="167" t="s">
        <v>537</v>
      </c>
      <c r="U1005" s="30"/>
      <c r="V1005" s="30"/>
      <c r="W1005" s="30"/>
      <c r="X1005" s="30"/>
      <c r="Y1005" s="30"/>
      <c r="Z1005" s="30"/>
    </row>
    <row r="1006" spans="1:26" customFormat="1" ht="28.7">
      <c r="A1006" s="167" t="s">
        <v>1309</v>
      </c>
      <c r="B1006" s="171" t="s">
        <v>977</v>
      </c>
      <c r="C1006" s="171" t="s">
        <v>336</v>
      </c>
      <c r="D1006" s="172">
        <v>0</v>
      </c>
      <c r="E1006" s="171" t="s">
        <v>979</v>
      </c>
      <c r="F1006" s="173" t="s">
        <v>987</v>
      </c>
      <c r="G1006" s="262" t="s">
        <v>1012</v>
      </c>
      <c r="H1006" s="180" t="s">
        <v>996</v>
      </c>
      <c r="I1006" s="173" t="s">
        <v>284</v>
      </c>
      <c r="J1006" s="171" t="s">
        <v>79</v>
      </c>
      <c r="K1006" s="240">
        <v>40148</v>
      </c>
      <c r="L1006" s="171" t="s">
        <v>999</v>
      </c>
      <c r="M1006" s="262"/>
      <c r="N1006" s="463"/>
      <c r="O1006" s="461">
        <f>CompletedProjects[[#This Row],[Power Plant Size (MW) or Share]]*0.593*9057*211.9*10^(-9)</f>
        <v>0</v>
      </c>
      <c r="P1006" s="337">
        <f>CompletedProjects[[#This Row],[Annual Emissions (MMTCO2)]]*40</f>
        <v>0</v>
      </c>
      <c r="Q1006" s="176"/>
      <c r="R1006" s="178"/>
      <c r="S1006" s="167"/>
      <c r="T1006" s="178"/>
    </row>
    <row r="1007" spans="1:26" customFormat="1" ht="57.35">
      <c r="A1007" s="181" t="s">
        <v>1309</v>
      </c>
      <c r="B1007" s="182" t="s">
        <v>519</v>
      </c>
      <c r="C1007" s="182" t="s">
        <v>464</v>
      </c>
      <c r="D1007" s="172">
        <f>450000000*'Dev Bank Share by Country'!$K$90</f>
        <v>22693500</v>
      </c>
      <c r="E1007" s="183" t="s">
        <v>1395</v>
      </c>
      <c r="F1007" s="183" t="s">
        <v>1393</v>
      </c>
      <c r="G1007" s="262" t="s">
        <v>1394</v>
      </c>
      <c r="H1007" s="183" t="s">
        <v>65</v>
      </c>
      <c r="I1007" s="180" t="s">
        <v>283</v>
      </c>
      <c r="J1007" s="183" t="s">
        <v>26</v>
      </c>
      <c r="K1007" s="242">
        <v>39562</v>
      </c>
      <c r="L1007" s="173" t="s">
        <v>525</v>
      </c>
      <c r="M1007" s="262" t="s">
        <v>821</v>
      </c>
      <c r="N1007" s="337">
        <f>4000/3/13</f>
        <v>102.56410256410255</v>
      </c>
      <c r="O1007" s="461">
        <f>CompletedProjects[[#This Row],[Power Plant Size (MW) or Share]]*0.593*9057*211.9*10^(-9)</f>
        <v>0.11672540839999998</v>
      </c>
      <c r="P1007" s="337">
        <f>CompletedProjects[[#This Row],[Annual Emissions (MMTCO2)]]*40</f>
        <v>4.6690163359999994</v>
      </c>
      <c r="Q1007" s="169"/>
      <c r="R1007" s="183" t="s">
        <v>1396</v>
      </c>
      <c r="S1007" s="181"/>
      <c r="T1007" s="183"/>
    </row>
    <row r="1008" spans="1:26" customFormat="1" ht="57.35">
      <c r="A1008" s="167" t="s">
        <v>1309</v>
      </c>
      <c r="B1008" s="171" t="s">
        <v>977</v>
      </c>
      <c r="C1008" s="171" t="s">
        <v>336</v>
      </c>
      <c r="D1008" s="172">
        <v>170000000</v>
      </c>
      <c r="E1008" s="171" t="s">
        <v>35</v>
      </c>
      <c r="F1008" s="173" t="s">
        <v>988</v>
      </c>
      <c r="G1008" s="262" t="s">
        <v>1013</v>
      </c>
      <c r="H1008" s="180" t="s">
        <v>95</v>
      </c>
      <c r="I1008" s="180" t="s">
        <v>283</v>
      </c>
      <c r="J1008" s="167" t="s">
        <v>26</v>
      </c>
      <c r="K1008" s="240">
        <v>40168</v>
      </c>
      <c r="L1008" s="178" t="s">
        <v>1000</v>
      </c>
      <c r="M1008" s="262" t="s">
        <v>1022</v>
      </c>
      <c r="N1008" s="463">
        <v>200</v>
      </c>
      <c r="O1008" s="461">
        <f>CompletedProjects[[#This Row],[Power Plant Size (MW) or Share]]*0.593*9057*211.9*10^(-9)</f>
        <v>0.22761454638</v>
      </c>
      <c r="P1008" s="337">
        <f>CompletedProjects[[#This Row],[Annual Emissions (MMTCO2)]]*40</f>
        <v>9.1045818551999993</v>
      </c>
      <c r="Q1008" s="176"/>
      <c r="R1008" s="178"/>
      <c r="S1008" s="167"/>
      <c r="T1008" s="178"/>
    </row>
    <row r="1009" spans="1:20" customFormat="1" ht="57.35">
      <c r="A1009" s="167" t="s">
        <v>1309</v>
      </c>
      <c r="B1009" s="186" t="s">
        <v>519</v>
      </c>
      <c r="C1009" s="167" t="s">
        <v>464</v>
      </c>
      <c r="D1009" s="172"/>
      <c r="E1009" s="173" t="s">
        <v>526</v>
      </c>
      <c r="F1009" s="173" t="s">
        <v>527</v>
      </c>
      <c r="G1009" s="174" t="s">
        <v>901</v>
      </c>
      <c r="H1009" s="173" t="s">
        <v>95</v>
      </c>
      <c r="I1009" s="180" t="s">
        <v>283</v>
      </c>
      <c r="J1009" s="173" t="s">
        <v>277</v>
      </c>
      <c r="K1009" s="241">
        <v>39601</v>
      </c>
      <c r="L1009" s="172">
        <f>120000000*'Dev Bank Share by Country'!$K$90</f>
        <v>6051600</v>
      </c>
      <c r="M1009" s="450"/>
      <c r="N1009" s="337"/>
      <c r="O1009" s="461">
        <f>CompletedProjects[[#This Row],[Power Plant Size (MW) or Share]]*0.593*9057*211.9*10^(-9)</f>
        <v>0</v>
      </c>
      <c r="P1009" s="337">
        <f>CompletedProjects[[#This Row],[Annual Emissions (MMTCO2)]]*40</f>
        <v>0</v>
      </c>
      <c r="Q1009" s="176"/>
      <c r="R1009" s="178" t="s">
        <v>1321</v>
      </c>
      <c r="S1009" s="167" t="s">
        <v>1688</v>
      </c>
      <c r="T1009" s="178"/>
    </row>
    <row r="1010" spans="1:20" customFormat="1" ht="43">
      <c r="A1010" s="181" t="s">
        <v>1309</v>
      </c>
      <c r="B1010" s="182" t="s">
        <v>559</v>
      </c>
      <c r="C1010" s="182" t="s">
        <v>464</v>
      </c>
      <c r="D1010" s="172">
        <v>295360.02286287397</v>
      </c>
      <c r="E1010" s="173" t="s">
        <v>588</v>
      </c>
      <c r="F1010" s="173" t="s">
        <v>588</v>
      </c>
      <c r="G1010" s="265" t="s">
        <v>793</v>
      </c>
      <c r="H1010" s="173" t="s">
        <v>201</v>
      </c>
      <c r="I1010" s="173" t="s">
        <v>40</v>
      </c>
      <c r="J1010" s="173" t="s">
        <v>40</v>
      </c>
      <c r="K1010" s="240">
        <v>39422</v>
      </c>
      <c r="L1010" s="167" t="s">
        <v>905</v>
      </c>
      <c r="M1010" s="262"/>
      <c r="N1010" s="337"/>
      <c r="O1010" s="461">
        <f>CompletedProjects[[#This Row],[Power Plant Size (MW) or Share]]*0.593*9057*211.9*10^(-9)</f>
        <v>0</v>
      </c>
      <c r="P1010" s="337">
        <f>CompletedProjects[[#This Row],[Annual Emissions (MMTCO2)]]*40</f>
        <v>0</v>
      </c>
      <c r="Q1010" s="176"/>
      <c r="R1010" s="178" t="s">
        <v>537</v>
      </c>
      <c r="S1010" s="167"/>
      <c r="T1010" s="178"/>
    </row>
    <row r="1011" spans="1:20" customFormat="1" ht="28.7">
      <c r="A1011" s="167" t="s">
        <v>1309</v>
      </c>
      <c r="B1011" s="171" t="s">
        <v>977</v>
      </c>
      <c r="C1011" s="171" t="s">
        <v>336</v>
      </c>
      <c r="D1011" s="172">
        <v>238000000</v>
      </c>
      <c r="E1011" s="171" t="s">
        <v>980</v>
      </c>
      <c r="F1011" s="173" t="s">
        <v>989</v>
      </c>
      <c r="G1011" s="262" t="s">
        <v>1014</v>
      </c>
      <c r="H1011" s="180" t="s">
        <v>997</v>
      </c>
      <c r="I1011" s="180" t="s">
        <v>283</v>
      </c>
      <c r="J1011" s="167" t="s">
        <v>26</v>
      </c>
      <c r="K1011" s="240">
        <v>40234</v>
      </c>
      <c r="L1011" s="171"/>
      <c r="M1011" s="262"/>
      <c r="N1011" s="463">
        <v>660</v>
      </c>
      <c r="O1011" s="461">
        <f>CompletedProjects[[#This Row],[Power Plant Size (MW) or Share]]*0.593*9057*211.9*10^(-9)</f>
        <v>0.75112800305400007</v>
      </c>
      <c r="P1011" s="337">
        <f>CompletedProjects[[#This Row],[Annual Emissions (MMTCO2)]]*40</f>
        <v>30.045120122160004</v>
      </c>
      <c r="Q1011" s="176"/>
      <c r="R1011" s="178"/>
      <c r="S1011" s="167"/>
      <c r="T1011" s="178"/>
    </row>
    <row r="1012" spans="1:20" customFormat="1" ht="172">
      <c r="A1012" s="167" t="s">
        <v>1309</v>
      </c>
      <c r="B1012" s="167" t="s">
        <v>401</v>
      </c>
      <c r="C1012" s="182" t="s">
        <v>464</v>
      </c>
      <c r="D1012" s="172">
        <f>11250000*'Dev Bank Share by Country'!$E$90</f>
        <v>94476.906821774435</v>
      </c>
      <c r="E1012" s="173" t="s">
        <v>270</v>
      </c>
      <c r="F1012" s="173" t="s">
        <v>433</v>
      </c>
      <c r="G1012" s="262" t="s">
        <v>767</v>
      </c>
      <c r="H1012" s="173" t="s">
        <v>201</v>
      </c>
      <c r="I1012" s="173" t="s">
        <v>40</v>
      </c>
      <c r="J1012" s="173" t="s">
        <v>417</v>
      </c>
      <c r="K1012" s="241">
        <v>40673</v>
      </c>
      <c r="L1012" s="173" t="s">
        <v>828</v>
      </c>
      <c r="M1012" s="273" t="s">
        <v>827</v>
      </c>
      <c r="N1012" s="256"/>
      <c r="O1012" s="461">
        <f>CompletedProjects[[#This Row],[Power Plant Size (MW) or Share]]*0.593*9057*211.9*10^(-9)</f>
        <v>0</v>
      </c>
      <c r="P1012" s="337">
        <f>CompletedProjects[[#This Row],[Annual Emissions (MMTCO2)]]*40</f>
        <v>0</v>
      </c>
      <c r="Q1012" s="167"/>
      <c r="R1012" s="167" t="s">
        <v>400</v>
      </c>
      <c r="S1012" s="167" t="s">
        <v>465</v>
      </c>
      <c r="T1012" s="167"/>
    </row>
    <row r="1013" spans="1:20" customFormat="1" ht="71.7">
      <c r="A1013" s="181" t="s">
        <v>1309</v>
      </c>
      <c r="B1013" s="182" t="s">
        <v>559</v>
      </c>
      <c r="C1013" s="182" t="s">
        <v>464</v>
      </c>
      <c r="D1013" s="172">
        <v>802790.26170306839</v>
      </c>
      <c r="E1013" s="173" t="s">
        <v>591</v>
      </c>
      <c r="F1013" s="173" t="s">
        <v>590</v>
      </c>
      <c r="G1013" s="265" t="s">
        <v>794</v>
      </c>
      <c r="H1013" s="173" t="s">
        <v>45</v>
      </c>
      <c r="I1013" s="180" t="s">
        <v>283</v>
      </c>
      <c r="J1013" s="173" t="s">
        <v>277</v>
      </c>
      <c r="K1013" s="240">
        <v>39553</v>
      </c>
      <c r="L1013" s="173" t="s">
        <v>906</v>
      </c>
      <c r="M1013" s="262"/>
      <c r="N1013" s="337"/>
      <c r="O1013" s="461">
        <f>CompletedProjects[[#This Row],[Power Plant Size (MW) or Share]]*0.593*9057*211.9*10^(-9)</f>
        <v>0</v>
      </c>
      <c r="P1013" s="337">
        <f>CompletedProjects[[#This Row],[Annual Emissions (MMTCO2)]]*40</f>
        <v>0</v>
      </c>
      <c r="Q1013" s="176"/>
      <c r="R1013" s="178"/>
      <c r="S1013" s="167"/>
      <c r="T1013" s="178"/>
    </row>
    <row r="1014" spans="1:20" customFormat="1" ht="57.35">
      <c r="A1014" s="167" t="s">
        <v>1309</v>
      </c>
      <c r="B1014" s="171" t="s">
        <v>1004</v>
      </c>
      <c r="C1014" s="171" t="s">
        <v>336</v>
      </c>
      <c r="D1014" s="172">
        <v>1074000000</v>
      </c>
      <c r="E1014" s="171" t="s">
        <v>1005</v>
      </c>
      <c r="F1014" s="173" t="s">
        <v>1008</v>
      </c>
      <c r="G1014" s="262" t="s">
        <v>1032</v>
      </c>
      <c r="H1014" s="180" t="s">
        <v>63</v>
      </c>
      <c r="I1014" s="180" t="s">
        <v>283</v>
      </c>
      <c r="J1014" s="171" t="s">
        <v>26</v>
      </c>
      <c r="K1014" s="240">
        <v>40544</v>
      </c>
      <c r="L1014" s="171" t="s">
        <v>1001</v>
      </c>
      <c r="M1014" s="262" t="s">
        <v>1027</v>
      </c>
      <c r="N1014" s="463">
        <v>1242</v>
      </c>
      <c r="O1014" s="461">
        <f>CompletedProjects[[#This Row],[Power Plant Size (MW) or Share]]*0.593*9057*211.9*10^(-9)</f>
        <v>1.4134863330198002</v>
      </c>
      <c r="P1014" s="337">
        <f>CompletedProjects[[#This Row],[Annual Emissions (MMTCO2)]]*40</f>
        <v>56.539453320792006</v>
      </c>
      <c r="Q1014" s="176"/>
      <c r="R1014" s="178"/>
      <c r="S1014" s="167"/>
      <c r="T1014" s="178"/>
    </row>
    <row r="1015" spans="1:20" customFormat="1" ht="43">
      <c r="A1015" s="181" t="s">
        <v>1309</v>
      </c>
      <c r="B1015" s="182" t="s">
        <v>559</v>
      </c>
      <c r="C1015" s="182" t="s">
        <v>464</v>
      </c>
      <c r="D1015" s="172"/>
      <c r="E1015" s="173" t="s">
        <v>611</v>
      </c>
      <c r="F1015" s="173" t="s">
        <v>612</v>
      </c>
      <c r="G1015" s="262" t="s">
        <v>804</v>
      </c>
      <c r="H1015" s="173" t="s">
        <v>613</v>
      </c>
      <c r="I1015" s="180" t="s">
        <v>283</v>
      </c>
      <c r="J1015" s="173" t="s">
        <v>277</v>
      </c>
      <c r="K1015" s="240">
        <v>39814</v>
      </c>
      <c r="L1015" s="197"/>
      <c r="M1015" s="262"/>
      <c r="N1015" s="337"/>
      <c r="O1015" s="461">
        <f>CompletedProjects[[#This Row],[Power Plant Size (MW) or Share]]*0.593*9057*211.9*10^(-9)</f>
        <v>0</v>
      </c>
      <c r="P1015" s="337">
        <f>CompletedProjects[[#This Row],[Annual Emissions (MMTCO2)]]*40</f>
        <v>0</v>
      </c>
      <c r="Q1015" s="176"/>
      <c r="R1015" s="173" t="s">
        <v>914</v>
      </c>
      <c r="S1015" s="167" t="s">
        <v>1688</v>
      </c>
      <c r="T1015" s="173"/>
    </row>
    <row r="1016" spans="1:20" customFormat="1" ht="71.7">
      <c r="A1016" s="181" t="s">
        <v>1309</v>
      </c>
      <c r="B1016" s="182" t="s">
        <v>559</v>
      </c>
      <c r="C1016" s="182" t="s">
        <v>464</v>
      </c>
      <c r="D1016" s="172">
        <v>546213.74091079435</v>
      </c>
      <c r="E1016" s="173" t="s">
        <v>604</v>
      </c>
      <c r="F1016" s="173" t="s">
        <v>605</v>
      </c>
      <c r="G1016" s="262" t="s">
        <v>802</v>
      </c>
      <c r="H1016" s="173" t="s">
        <v>493</v>
      </c>
      <c r="I1016" s="180" t="s">
        <v>283</v>
      </c>
      <c r="J1016" s="173" t="s">
        <v>277</v>
      </c>
      <c r="K1016" s="240">
        <v>40589</v>
      </c>
      <c r="L1016" s="173" t="s">
        <v>1693</v>
      </c>
      <c r="M1016" s="262"/>
      <c r="N1016" s="337">
        <f>154/12</f>
        <v>12.833333333333334</v>
      </c>
      <c r="O1016" s="461">
        <f>CompletedProjects[[#This Row],[Power Plant Size (MW) or Share]]*0.593*9057*211.9*10^(-9)</f>
        <v>1.460526672605E-2</v>
      </c>
      <c r="P1016" s="337">
        <f>CompletedProjects[[#This Row],[Annual Emissions (MMTCO2)]]*40</f>
        <v>0.58421066904200003</v>
      </c>
      <c r="Q1016" s="176"/>
      <c r="R1016" s="178" t="s">
        <v>537</v>
      </c>
      <c r="S1016" s="167"/>
      <c r="T1016" s="178"/>
    </row>
    <row r="1017" spans="1:20" customFormat="1" ht="43">
      <c r="A1017" s="181" t="s">
        <v>1309</v>
      </c>
      <c r="B1017" s="182" t="s">
        <v>559</v>
      </c>
      <c r="C1017" s="182" t="s">
        <v>464</v>
      </c>
      <c r="D1017" s="172">
        <v>347311.01866505621</v>
      </c>
      <c r="E1017" s="173" t="s">
        <v>587</v>
      </c>
      <c r="F1017" s="173" t="s">
        <v>587</v>
      </c>
      <c r="G1017" s="262" t="s">
        <v>792</v>
      </c>
      <c r="H1017" s="173" t="s">
        <v>39</v>
      </c>
      <c r="I1017" s="180" t="s">
        <v>283</v>
      </c>
      <c r="J1017" s="173" t="s">
        <v>277</v>
      </c>
      <c r="K1017" s="240">
        <v>39415</v>
      </c>
      <c r="L1017" s="167" t="s">
        <v>904</v>
      </c>
      <c r="M1017" s="262"/>
      <c r="N1017" s="338">
        <f>550/12</f>
        <v>45.833333333333336</v>
      </c>
      <c r="O1017" s="461">
        <f>CompletedProjects[[#This Row],[Power Plant Size (MW) or Share]]*0.593*9057*211.9*10^(-9)</f>
        <v>5.2161666878750006E-2</v>
      </c>
      <c r="P1017" s="337">
        <f>CompletedProjects[[#This Row],[Annual Emissions (MMTCO2)]]*40</f>
        <v>2.0864666751500001</v>
      </c>
      <c r="Q1017" s="169"/>
      <c r="R1017" s="178" t="s">
        <v>537</v>
      </c>
      <c r="S1017" s="181"/>
      <c r="T1017" s="178"/>
    </row>
    <row r="1018" spans="1:20" customFormat="1" ht="43">
      <c r="A1018" s="167" t="s">
        <v>1309</v>
      </c>
      <c r="B1018" s="171" t="s">
        <v>977</v>
      </c>
      <c r="C1018" s="171" t="s">
        <v>336</v>
      </c>
      <c r="D1018" s="172">
        <v>622000000</v>
      </c>
      <c r="E1018" s="171" t="s">
        <v>981</v>
      </c>
      <c r="F1018" s="173" t="s">
        <v>990</v>
      </c>
      <c r="G1018" s="262" t="s">
        <v>1015</v>
      </c>
      <c r="H1018" s="180" t="s">
        <v>63</v>
      </c>
      <c r="I1018" s="180" t="s">
        <v>283</v>
      </c>
      <c r="J1018" s="167" t="s">
        <v>26</v>
      </c>
      <c r="K1018" s="240">
        <v>40695</v>
      </c>
      <c r="L1018" s="171"/>
      <c r="M1018" s="262" t="s">
        <v>1019</v>
      </c>
      <c r="N1018" s="463">
        <v>1080</v>
      </c>
      <c r="O1018" s="461">
        <f>CompletedProjects[[#This Row],[Power Plant Size (MW) or Share]]*0.593*9057*211.9*10^(-9)</f>
        <v>1.2291185504519999</v>
      </c>
      <c r="P1018" s="337">
        <f>CompletedProjects[[#This Row],[Annual Emissions (MMTCO2)]]*40</f>
        <v>49.164742018079998</v>
      </c>
      <c r="Q1018" s="176"/>
      <c r="R1018" s="178"/>
      <c r="S1018" s="167"/>
      <c r="T1018" s="178"/>
    </row>
    <row r="1019" spans="1:20" customFormat="1" ht="86">
      <c r="A1019" s="167" t="s">
        <v>1309</v>
      </c>
      <c r="B1019" s="186" t="s">
        <v>519</v>
      </c>
      <c r="C1019" s="167" t="s">
        <v>464</v>
      </c>
      <c r="D1019" s="172">
        <f>200000*'Dev Bank Share by Country'!$K$90</f>
        <v>10086</v>
      </c>
      <c r="E1019" s="173" t="s">
        <v>528</v>
      </c>
      <c r="F1019" s="173" t="s">
        <v>529</v>
      </c>
      <c r="G1019" s="262"/>
      <c r="H1019" s="173" t="s">
        <v>239</v>
      </c>
      <c r="I1019" s="180" t="s">
        <v>283</v>
      </c>
      <c r="J1019" s="173" t="s">
        <v>26</v>
      </c>
      <c r="K1019" s="241">
        <v>39729</v>
      </c>
      <c r="L1019" s="183" t="s">
        <v>1709</v>
      </c>
      <c r="M1019" s="262"/>
      <c r="N1019" s="337"/>
      <c r="O1019" s="461">
        <f>CompletedProjects[[#This Row],[Power Plant Size (MW) or Share]]*0.593*9057*211.9*10^(-9)</f>
        <v>0</v>
      </c>
      <c r="P1019" s="337">
        <f>CompletedProjects[[#This Row],[Annual Emissions (MMTCO2)]]*40</f>
        <v>0</v>
      </c>
      <c r="Q1019" s="176"/>
      <c r="R1019" s="178" t="s">
        <v>530</v>
      </c>
      <c r="S1019" s="167"/>
      <c r="T1019" s="178"/>
    </row>
    <row r="1020" spans="1:20" s="146" customFormat="1" ht="57.35">
      <c r="A1020" s="167" t="s">
        <v>1309</v>
      </c>
      <c r="B1020" s="171" t="s">
        <v>977</v>
      </c>
      <c r="C1020" s="171" t="s">
        <v>336</v>
      </c>
      <c r="D1020" s="172">
        <v>510000000</v>
      </c>
      <c r="E1020" s="170" t="s">
        <v>983</v>
      </c>
      <c r="F1020" s="173" t="s">
        <v>992</v>
      </c>
      <c r="G1020" s="262" t="s">
        <v>1017</v>
      </c>
      <c r="H1020" s="175" t="s">
        <v>63</v>
      </c>
      <c r="I1020" s="180" t="s">
        <v>283</v>
      </c>
      <c r="J1020" s="167" t="s">
        <v>26</v>
      </c>
      <c r="K1020" s="240">
        <v>40909</v>
      </c>
      <c r="L1020" s="178" t="s">
        <v>1001</v>
      </c>
      <c r="M1020" s="262" t="s">
        <v>1021</v>
      </c>
      <c r="N1020" s="470">
        <v>1000</v>
      </c>
      <c r="O1020" s="461">
        <f>CompletedProjects[[#This Row],[Power Plant Size (MW) or Share]]*0.593*9057*211.9*10^(-9)</f>
        <v>1.1380727319000001</v>
      </c>
      <c r="P1020" s="337">
        <f>CompletedProjects[[#This Row],[Annual Emissions (MMTCO2)]]*40</f>
        <v>45.522909276000007</v>
      </c>
      <c r="Q1020" s="176"/>
      <c r="R1020" s="178"/>
      <c r="S1020" s="167"/>
      <c r="T1020" s="178"/>
    </row>
    <row r="1021" spans="1:20" customFormat="1" ht="86">
      <c r="A1021" s="167" t="s">
        <v>1309</v>
      </c>
      <c r="B1021" s="171" t="s">
        <v>1004</v>
      </c>
      <c r="C1021" s="171" t="s">
        <v>336</v>
      </c>
      <c r="D1021" s="172">
        <v>344000000</v>
      </c>
      <c r="E1021" s="171" t="s">
        <v>1005</v>
      </c>
      <c r="F1021" s="173" t="s">
        <v>1010</v>
      </c>
      <c r="G1021" s="262" t="s">
        <v>1026</v>
      </c>
      <c r="H1021" s="180" t="s">
        <v>144</v>
      </c>
      <c r="I1021" s="180" t="s">
        <v>283</v>
      </c>
      <c r="J1021" s="171" t="s">
        <v>26</v>
      </c>
      <c r="K1021" s="240">
        <v>40909</v>
      </c>
      <c r="L1021" s="171" t="s">
        <v>1031</v>
      </c>
      <c r="M1021" s="262" t="s">
        <v>1029</v>
      </c>
      <c r="N1021" s="463">
        <v>472</v>
      </c>
      <c r="O1021" s="461">
        <f>CompletedProjects[[#This Row],[Power Plant Size (MW) or Share]]*0.593*9057*211.9*10^(-9)</f>
        <v>0.53717032945679999</v>
      </c>
      <c r="P1021" s="337">
        <f>CompletedProjects[[#This Row],[Annual Emissions (MMTCO2)]]*40</f>
        <v>21.486813178272001</v>
      </c>
      <c r="Q1021" s="176"/>
      <c r="R1021" s="178"/>
      <c r="S1021" s="167"/>
      <c r="T1021" s="178"/>
    </row>
    <row r="1022" spans="1:20" customFormat="1" ht="43">
      <c r="A1022" s="181" t="s">
        <v>1309</v>
      </c>
      <c r="B1022" s="171" t="s">
        <v>559</v>
      </c>
      <c r="C1022" s="171" t="s">
        <v>464</v>
      </c>
      <c r="D1022" s="172">
        <v>1304843.936620231</v>
      </c>
      <c r="E1022" s="173" t="s">
        <v>600</v>
      </c>
      <c r="F1022" s="173" t="s">
        <v>601</v>
      </c>
      <c r="G1022" s="262" t="s">
        <v>800</v>
      </c>
      <c r="H1022" s="173" t="s">
        <v>481</v>
      </c>
      <c r="I1022" s="180" t="s">
        <v>283</v>
      </c>
      <c r="J1022" s="173" t="s">
        <v>277</v>
      </c>
      <c r="K1022" s="240">
        <v>40544</v>
      </c>
      <c r="L1022" s="173" t="s">
        <v>909</v>
      </c>
      <c r="M1022" s="267"/>
      <c r="N1022" s="338">
        <f>600/12</f>
        <v>50</v>
      </c>
      <c r="O1022" s="461">
        <f>CompletedProjects[[#This Row],[Power Plant Size (MW) or Share]]*0.593*9057*211.9*10^(-9)</f>
        <v>5.6903636595000001E-2</v>
      </c>
      <c r="P1022" s="337">
        <f>CompletedProjects[[#This Row],[Annual Emissions (MMTCO2)]]*40</f>
        <v>2.2761454637999998</v>
      </c>
      <c r="Q1022" s="169"/>
      <c r="R1022" s="185"/>
      <c r="S1022" s="181"/>
      <c r="T1022" s="185"/>
    </row>
    <row r="1023" spans="1:20" customFormat="1" ht="57.35">
      <c r="A1023" s="167" t="s">
        <v>1309</v>
      </c>
      <c r="B1023" s="171" t="s">
        <v>977</v>
      </c>
      <c r="C1023" s="171" t="s">
        <v>336</v>
      </c>
      <c r="D1023" s="172">
        <v>350000000</v>
      </c>
      <c r="E1023" s="171" t="s">
        <v>982</v>
      </c>
      <c r="F1023" s="173" t="s">
        <v>991</v>
      </c>
      <c r="G1023" s="262" t="s">
        <v>1016</v>
      </c>
      <c r="H1023" s="180" t="s">
        <v>998</v>
      </c>
      <c r="I1023" s="180" t="s">
        <v>283</v>
      </c>
      <c r="J1023" s="167" t="s">
        <v>26</v>
      </c>
      <c r="K1023" s="240">
        <v>41019</v>
      </c>
      <c r="L1023" s="171"/>
      <c r="M1023" s="262" t="s">
        <v>1020</v>
      </c>
      <c r="N1023" s="463">
        <v>700</v>
      </c>
      <c r="O1023" s="461">
        <f>CompletedProjects[[#This Row],[Power Plant Size (MW) or Share]]*0.593*9057*211.9*10^(-9)</f>
        <v>0.79665091232999996</v>
      </c>
      <c r="P1023" s="337">
        <f>CompletedProjects[[#This Row],[Annual Emissions (MMTCO2)]]*40</f>
        <v>31.866036493199999</v>
      </c>
      <c r="Q1023" s="176"/>
      <c r="R1023" s="178"/>
      <c r="S1023" s="167"/>
      <c r="T1023" s="178"/>
    </row>
    <row r="1024" spans="1:20" customFormat="1" ht="143.35">
      <c r="A1024" s="222" t="s">
        <v>1309</v>
      </c>
      <c r="B1024" s="171" t="s">
        <v>445</v>
      </c>
      <c r="C1024" s="171" t="s">
        <v>464</v>
      </c>
      <c r="D1024" s="172">
        <f>450000000*'Dev Bank Share by Country'!$G$90</f>
        <v>4935949.8681509933</v>
      </c>
      <c r="E1024" s="183" t="s">
        <v>1395</v>
      </c>
      <c r="F1024" s="183" t="s">
        <v>1393</v>
      </c>
      <c r="G1024" s="262" t="s">
        <v>1394</v>
      </c>
      <c r="H1024" s="183" t="s">
        <v>65</v>
      </c>
      <c r="I1024" s="180" t="s">
        <v>283</v>
      </c>
      <c r="J1024" s="183" t="s">
        <v>26</v>
      </c>
      <c r="K1024" s="242">
        <v>39562</v>
      </c>
      <c r="L1024" s="173" t="s">
        <v>919</v>
      </c>
      <c r="M1024" s="262" t="s">
        <v>768</v>
      </c>
      <c r="N1024" s="338">
        <f>4000/3/20</f>
        <v>66.666666666666657</v>
      </c>
      <c r="O1024" s="461">
        <f>CompletedProjects[[#This Row],[Power Plant Size (MW) or Share]]*0.593*9057*211.9*10^(-9)</f>
        <v>7.5871515459999983E-2</v>
      </c>
      <c r="P1024" s="337">
        <f>CompletedProjects[[#This Row],[Annual Emissions (MMTCO2)]]*40</f>
        <v>3.0348606183999993</v>
      </c>
      <c r="Q1024" s="176"/>
      <c r="R1024" s="173" t="s">
        <v>1396</v>
      </c>
      <c r="S1024" s="167"/>
      <c r="T1024" s="173"/>
    </row>
    <row r="1025" spans="1:20" customFormat="1" ht="71.7">
      <c r="A1025" s="222" t="s">
        <v>1309</v>
      </c>
      <c r="B1025" s="171" t="s">
        <v>1004</v>
      </c>
      <c r="C1025" s="171" t="s">
        <v>336</v>
      </c>
      <c r="D1025" s="172">
        <v>890000000</v>
      </c>
      <c r="E1025" s="171" t="s">
        <v>1006</v>
      </c>
      <c r="F1025" s="173" t="s">
        <v>1009</v>
      </c>
      <c r="G1025" s="262" t="s">
        <v>1032</v>
      </c>
      <c r="H1025" s="180" t="s">
        <v>36</v>
      </c>
      <c r="I1025" s="173" t="s">
        <v>284</v>
      </c>
      <c r="J1025" s="173" t="s">
        <v>1498</v>
      </c>
      <c r="K1025" s="240">
        <v>41116</v>
      </c>
      <c r="L1025" s="171"/>
      <c r="M1025" s="262" t="s">
        <v>1028</v>
      </c>
      <c r="N1025" s="463">
        <v>450</v>
      </c>
      <c r="O1025" s="461">
        <f>CompletedProjects[[#This Row],[Power Plant Size (MW) or Share]]*0.593*9057*211.9*10^(-9)</f>
        <v>0.51213272935499998</v>
      </c>
      <c r="P1025" s="337">
        <f>CompletedProjects[[#This Row],[Annual Emissions (MMTCO2)]]*40</f>
        <v>20.485309174199998</v>
      </c>
      <c r="Q1025" s="176"/>
      <c r="R1025" s="178"/>
      <c r="S1025" s="167"/>
      <c r="T1025" s="178"/>
    </row>
    <row r="1026" spans="1:20" customFormat="1" ht="100.35">
      <c r="A1026" s="222" t="s">
        <v>1309</v>
      </c>
      <c r="B1026" s="171" t="s">
        <v>977</v>
      </c>
      <c r="C1026" s="171" t="s">
        <v>336</v>
      </c>
      <c r="D1026" s="172">
        <f>330000000+270000000</f>
        <v>600000000</v>
      </c>
      <c r="E1026" s="171" t="s">
        <v>984</v>
      </c>
      <c r="F1026" s="173" t="s">
        <v>993</v>
      </c>
      <c r="G1026" s="262" t="s">
        <v>1018</v>
      </c>
      <c r="H1026" s="180" t="s">
        <v>63</v>
      </c>
      <c r="I1026" s="180" t="s">
        <v>283</v>
      </c>
      <c r="J1026" s="167" t="s">
        <v>26</v>
      </c>
      <c r="K1026" s="240">
        <v>41618</v>
      </c>
      <c r="L1026" s="171" t="s">
        <v>1002</v>
      </c>
      <c r="M1026" s="262" t="s">
        <v>1019</v>
      </c>
      <c r="N1026" s="463">
        <v>1200</v>
      </c>
      <c r="O1026" s="461">
        <f>CompletedProjects[[#This Row],[Power Plant Size (MW) or Share]]*0.593*9057*211.9*10^(-9)</f>
        <v>1.36568727828</v>
      </c>
      <c r="P1026" s="337">
        <f>CompletedProjects[[#This Row],[Annual Emissions (MMTCO2)]]*40</f>
        <v>54.627491131200003</v>
      </c>
      <c r="Q1026" s="176"/>
      <c r="R1026" s="178"/>
      <c r="S1026" s="167"/>
      <c r="T1026" s="178"/>
    </row>
    <row r="1027" spans="1:20" customFormat="1" ht="57.35">
      <c r="A1027" s="222" t="s">
        <v>1309</v>
      </c>
      <c r="B1027" s="182" t="s">
        <v>511</v>
      </c>
      <c r="C1027" s="182" t="s">
        <v>464</v>
      </c>
      <c r="D1027" s="172">
        <f>18000000*'Dev Bank Share by Country'!$G$90</f>
        <v>197437.9947260397</v>
      </c>
      <c r="E1027" s="173" t="s">
        <v>407</v>
      </c>
      <c r="F1027" s="173" t="s">
        <v>407</v>
      </c>
      <c r="G1027" s="262" t="s">
        <v>776</v>
      </c>
      <c r="H1027" s="173" t="s">
        <v>408</v>
      </c>
      <c r="I1027" s="180" t="s">
        <v>283</v>
      </c>
      <c r="J1027" s="173" t="s">
        <v>409</v>
      </c>
      <c r="K1027" s="241">
        <v>39254</v>
      </c>
      <c r="L1027" s="173" t="s">
        <v>816</v>
      </c>
      <c r="M1027" s="262"/>
      <c r="N1027" s="256">
        <f>60/19</f>
        <v>3.1578947368421053</v>
      </c>
      <c r="O1027" s="461">
        <f>CompletedProjects[[#This Row],[Power Plant Size (MW) or Share]]*0.593*9057*211.9*10^(-9)</f>
        <v>3.5939138902105262E-3</v>
      </c>
      <c r="P1027" s="337">
        <f>CompletedProjects[[#This Row],[Annual Emissions (MMTCO2)]]*40</f>
        <v>0.14375655560842104</v>
      </c>
      <c r="Q1027" s="167"/>
      <c r="R1027" s="167" t="s">
        <v>636</v>
      </c>
      <c r="S1027" s="167" t="s">
        <v>633</v>
      </c>
      <c r="T1027" s="167"/>
    </row>
    <row r="1028" spans="1:20" customFormat="1" ht="100.35">
      <c r="A1028" s="222" t="s">
        <v>1309</v>
      </c>
      <c r="B1028" s="171" t="s">
        <v>977</v>
      </c>
      <c r="C1028" s="171" t="s">
        <v>336</v>
      </c>
      <c r="D1028" s="172">
        <v>455000000</v>
      </c>
      <c r="E1028" s="171" t="s">
        <v>985</v>
      </c>
      <c r="F1028" s="173" t="s">
        <v>994</v>
      </c>
      <c r="G1028" s="262" t="s">
        <v>1019</v>
      </c>
      <c r="H1028" s="180" t="s">
        <v>63</v>
      </c>
      <c r="I1028" s="180" t="s">
        <v>283</v>
      </c>
      <c r="J1028" s="167" t="s">
        <v>26</v>
      </c>
      <c r="K1028" s="240">
        <v>41640</v>
      </c>
      <c r="L1028" s="171" t="s">
        <v>1003</v>
      </c>
      <c r="M1028" s="262" t="s">
        <v>1440</v>
      </c>
      <c r="N1028" s="463">
        <v>400</v>
      </c>
      <c r="O1028" s="461">
        <f>CompletedProjects[[#This Row],[Power Plant Size (MW) or Share]]*0.593*9057*211.9*10^(-9)</f>
        <v>0.45522909276000001</v>
      </c>
      <c r="P1028" s="337">
        <f>CompletedProjects[[#This Row],[Annual Emissions (MMTCO2)]]*40</f>
        <v>18.209163710399999</v>
      </c>
      <c r="Q1028" s="176"/>
      <c r="R1028" s="178"/>
      <c r="S1028" s="167"/>
      <c r="T1028" s="178"/>
    </row>
    <row r="1029" spans="1:20" customFormat="1" ht="86">
      <c r="A1029" s="222" t="s">
        <v>1309</v>
      </c>
      <c r="B1029" s="167" t="s">
        <v>401</v>
      </c>
      <c r="C1029" s="182" t="s">
        <v>464</v>
      </c>
      <c r="D1029" s="172">
        <f>7500000*'Dev Bank Share by Country'!$E$90</f>
        <v>62984.604547849616</v>
      </c>
      <c r="E1029" s="173" t="s">
        <v>456</v>
      </c>
      <c r="F1029" s="173" t="s">
        <v>457</v>
      </c>
      <c r="G1029" s="262" t="s">
        <v>794</v>
      </c>
      <c r="H1029" s="173" t="s">
        <v>458</v>
      </c>
      <c r="I1029" s="180" t="s">
        <v>283</v>
      </c>
      <c r="J1029" s="173" t="s">
        <v>26</v>
      </c>
      <c r="K1029" s="241">
        <v>41627</v>
      </c>
      <c r="L1029" s="173" t="s">
        <v>899</v>
      </c>
      <c r="M1029" s="262"/>
      <c r="N1029" s="256">
        <f>125/19</f>
        <v>6.5789473684210522</v>
      </c>
      <c r="O1029" s="461">
        <f>CompletedProjects[[#This Row],[Power Plant Size (MW) or Share]]*0.593*9057*211.9*10^(-9)</f>
        <v>7.487320604605263E-3</v>
      </c>
      <c r="P1029" s="337">
        <f>CompletedProjects[[#This Row],[Annual Emissions (MMTCO2)]]*40</f>
        <v>0.29949282418421053</v>
      </c>
      <c r="Q1029" s="167"/>
      <c r="R1029" s="167" t="s">
        <v>637</v>
      </c>
      <c r="S1029" s="167" t="s">
        <v>633</v>
      </c>
      <c r="T1029" s="167" t="s">
        <v>537</v>
      </c>
    </row>
    <row r="1030" spans="1:20" customFormat="1" ht="100.35">
      <c r="A1030" s="222" t="s">
        <v>1309</v>
      </c>
      <c r="B1030" s="182" t="s">
        <v>511</v>
      </c>
      <c r="C1030" s="182" t="s">
        <v>464</v>
      </c>
      <c r="D1030" s="172">
        <f>146970000*'Dev Bank Share by Country'!$G$90</f>
        <v>1612081.2269381143</v>
      </c>
      <c r="E1030" s="173" t="s">
        <v>459</v>
      </c>
      <c r="F1030" s="173" t="s">
        <v>460</v>
      </c>
      <c r="G1030" s="262" t="s">
        <v>784</v>
      </c>
      <c r="H1030" s="173" t="s">
        <v>239</v>
      </c>
      <c r="I1030" s="180" t="s">
        <v>283</v>
      </c>
      <c r="J1030" s="173" t="s">
        <v>26</v>
      </c>
      <c r="K1030" s="241">
        <v>41701</v>
      </c>
      <c r="L1030" s="173" t="s">
        <v>900</v>
      </c>
      <c r="M1030" s="262"/>
      <c r="N1030" s="256"/>
      <c r="O1030" s="461">
        <f>CompletedProjects[[#This Row],[Power Plant Size (MW) or Share]]*0.593*9057*211.9*10^(-9)</f>
        <v>0</v>
      </c>
      <c r="P1030" s="337">
        <f>CompletedProjects[[#This Row],[Annual Emissions (MMTCO2)]]*40</f>
        <v>0</v>
      </c>
      <c r="Q1030" s="167"/>
      <c r="R1030" s="167" t="s">
        <v>400</v>
      </c>
      <c r="S1030" s="167" t="s">
        <v>465</v>
      </c>
      <c r="T1030" s="167"/>
    </row>
    <row r="1031" spans="1:20" customFormat="1" ht="28.7">
      <c r="A1031" s="287" t="s">
        <v>1309</v>
      </c>
      <c r="B1031" s="183" t="s">
        <v>519</v>
      </c>
      <c r="C1031" s="183" t="s">
        <v>464</v>
      </c>
      <c r="D1031" s="172">
        <f>120000000*'Dev Bank Share by Country'!$K$90</f>
        <v>6051600</v>
      </c>
      <c r="E1031" s="173" t="s">
        <v>533</v>
      </c>
      <c r="F1031" s="173" t="s">
        <v>534</v>
      </c>
      <c r="G1031" s="262"/>
      <c r="H1031" s="173" t="s">
        <v>95</v>
      </c>
      <c r="I1031" s="180" t="s">
        <v>283</v>
      </c>
      <c r="J1031" s="173" t="s">
        <v>277</v>
      </c>
      <c r="K1031" s="241">
        <v>40158</v>
      </c>
      <c r="L1031" s="173" t="s">
        <v>535</v>
      </c>
      <c r="M1031" s="262"/>
      <c r="N1031" s="337">
        <f>200/13</f>
        <v>15.384615384615385</v>
      </c>
      <c r="O1031" s="461">
        <f>CompletedProjects[[#This Row],[Power Plant Size (MW) or Share]]*0.593*9057*211.9*10^(-9)</f>
        <v>1.750881126E-2</v>
      </c>
      <c r="P1031" s="337">
        <f>CompletedProjects[[#This Row],[Annual Emissions (MMTCO2)]]*40</f>
        <v>0.70035245040000005</v>
      </c>
      <c r="Q1031" s="176"/>
      <c r="R1031" s="178"/>
      <c r="S1031" s="167"/>
      <c r="T1031" s="178"/>
    </row>
    <row r="1032" spans="1:20" customFormat="1" ht="129">
      <c r="A1032" s="222" t="s">
        <v>1309</v>
      </c>
      <c r="B1032" s="182" t="s">
        <v>509</v>
      </c>
      <c r="C1032" s="182" t="s">
        <v>464</v>
      </c>
      <c r="D1032" s="172">
        <v>950334.18819987832</v>
      </c>
      <c r="E1032" s="173" t="s">
        <v>556</v>
      </c>
      <c r="F1032" s="173" t="s">
        <v>555</v>
      </c>
      <c r="G1032" s="262"/>
      <c r="H1032" s="173" t="s">
        <v>554</v>
      </c>
      <c r="I1032" s="180" t="s">
        <v>283</v>
      </c>
      <c r="J1032" s="173" t="s">
        <v>26</v>
      </c>
      <c r="K1032" s="240">
        <v>42064</v>
      </c>
      <c r="L1032" s="173" t="s">
        <v>857</v>
      </c>
      <c r="M1032" s="262" t="s">
        <v>858</v>
      </c>
      <c r="N1032" s="337"/>
      <c r="O1032" s="461">
        <f>CompletedProjects[[#This Row],[Power Plant Size (MW) or Share]]*0.593*9057*211.9*10^(-9)</f>
        <v>0</v>
      </c>
      <c r="P1032" s="337">
        <f>CompletedProjects[[#This Row],[Annual Emissions (MMTCO2)]]*40</f>
        <v>0</v>
      </c>
      <c r="Q1032" s="176"/>
      <c r="R1032" s="178" t="s">
        <v>537</v>
      </c>
      <c r="S1032" s="167"/>
      <c r="T1032" s="178"/>
    </row>
    <row r="1033" spans="1:20" customFormat="1" ht="43">
      <c r="A1033" s="222" t="s">
        <v>1309</v>
      </c>
      <c r="B1033" s="182" t="s">
        <v>559</v>
      </c>
      <c r="C1033" s="182" t="s">
        <v>464</v>
      </c>
      <c r="D1033" s="172">
        <v>831640.76574451278</v>
      </c>
      <c r="E1033" s="173" t="s">
        <v>595</v>
      </c>
      <c r="F1033" s="173" t="s">
        <v>594</v>
      </c>
      <c r="G1033" s="262" t="s">
        <v>796</v>
      </c>
      <c r="H1033" s="173" t="s">
        <v>45</v>
      </c>
      <c r="I1033" s="180" t="s">
        <v>283</v>
      </c>
      <c r="J1033" s="173" t="s">
        <v>277</v>
      </c>
      <c r="K1033" s="240">
        <v>40032</v>
      </c>
      <c r="L1033" s="173"/>
      <c r="M1033" s="262"/>
      <c r="N1033" s="338">
        <f>185/12</f>
        <v>15.416666666666666</v>
      </c>
      <c r="O1033" s="461">
        <f>CompletedProjects[[#This Row],[Power Plant Size (MW) or Share]]*0.593*9057*211.9*10^(-9)</f>
        <v>1.7545287950124999E-2</v>
      </c>
      <c r="P1033" s="337">
        <f>CompletedProjects[[#This Row],[Annual Emissions (MMTCO2)]]*40</f>
        <v>0.70181151800499997</v>
      </c>
      <c r="Q1033" s="169"/>
      <c r="R1033" s="185"/>
      <c r="S1033" s="181"/>
      <c r="T1033" s="185"/>
    </row>
    <row r="1034" spans="1:20" customFormat="1" ht="215">
      <c r="A1034" s="222" t="s">
        <v>1309</v>
      </c>
      <c r="B1034" s="182" t="s">
        <v>509</v>
      </c>
      <c r="C1034" s="182" t="s">
        <v>464</v>
      </c>
      <c r="D1034" s="172">
        <v>5345629.808624316</v>
      </c>
      <c r="E1034" s="173" t="s">
        <v>41</v>
      </c>
      <c r="F1034" s="173" t="s">
        <v>553</v>
      </c>
      <c r="G1034" s="262" t="s">
        <v>788</v>
      </c>
      <c r="H1034" s="173" t="s">
        <v>25</v>
      </c>
      <c r="I1034" s="173" t="s">
        <v>284</v>
      </c>
      <c r="J1034" s="173" t="s">
        <v>79</v>
      </c>
      <c r="K1034" s="240">
        <v>42359</v>
      </c>
      <c r="L1034" s="173" t="s">
        <v>1326</v>
      </c>
      <c r="M1034" s="262" t="s">
        <v>861</v>
      </c>
      <c r="N1034" s="337"/>
      <c r="O1034" s="461">
        <f>CompletedProjects[[#This Row],[Power Plant Size (MW) or Share]]*0.593*9057*211.9*10^(-9)</f>
        <v>0</v>
      </c>
      <c r="P1034" s="337">
        <f>CompletedProjects[[#This Row],[Annual Emissions (MMTCO2)]]*40</f>
        <v>0</v>
      </c>
      <c r="Q1034" s="176"/>
      <c r="R1034" s="178"/>
      <c r="S1034" s="167"/>
      <c r="T1034" s="178"/>
    </row>
    <row r="1035" spans="1:20" customFormat="1" ht="215">
      <c r="A1035" s="167" t="s">
        <v>1309</v>
      </c>
      <c r="B1035" s="167" t="s">
        <v>401</v>
      </c>
      <c r="C1035" s="182" t="s">
        <v>464</v>
      </c>
      <c r="D1035" s="172">
        <f>200000000*'Dev Bank Share by Country'!$E$90</f>
        <v>1679589.4546093233</v>
      </c>
      <c r="E1035" s="173" t="s">
        <v>461</v>
      </c>
      <c r="F1035" s="173" t="s">
        <v>462</v>
      </c>
      <c r="G1035" s="262" t="s">
        <v>795</v>
      </c>
      <c r="H1035" s="173" t="s">
        <v>442</v>
      </c>
      <c r="I1035" s="173" t="s">
        <v>284</v>
      </c>
      <c r="J1035" s="173" t="s">
        <v>1498</v>
      </c>
      <c r="K1035" s="241">
        <v>41760</v>
      </c>
      <c r="L1035" s="173" t="s">
        <v>831</v>
      </c>
      <c r="M1035" s="262" t="s">
        <v>830</v>
      </c>
      <c r="N1035" s="256"/>
      <c r="O1035" s="461">
        <f>CompletedProjects[[#This Row],[Power Plant Size (MW) or Share]]*0.593*9057*211.9*10^(-9)</f>
        <v>0</v>
      </c>
      <c r="P1035" s="337">
        <f>CompletedProjects[[#This Row],[Annual Emissions (MMTCO2)]]*40</f>
        <v>0</v>
      </c>
      <c r="Q1035" s="167"/>
      <c r="R1035" s="167" t="s">
        <v>400</v>
      </c>
      <c r="S1035" s="167" t="s">
        <v>465</v>
      </c>
      <c r="T1035" s="167"/>
    </row>
    <row r="1036" spans="1:20" customFormat="1" ht="114.7">
      <c r="A1036" s="167" t="s">
        <v>1309</v>
      </c>
      <c r="B1036" s="167" t="s">
        <v>401</v>
      </c>
      <c r="C1036" s="171" t="s">
        <v>464</v>
      </c>
      <c r="D1036" s="172">
        <f>280000*'Dev Bank Share by Country'!$E$90</f>
        <v>2351.4252364530525</v>
      </c>
      <c r="E1036" s="173" t="s">
        <v>437</v>
      </c>
      <c r="F1036" s="173" t="s">
        <v>438</v>
      </c>
      <c r="G1036" s="262" t="s">
        <v>790</v>
      </c>
      <c r="H1036" s="173" t="s">
        <v>439</v>
      </c>
      <c r="I1036" s="173" t="s">
        <v>284</v>
      </c>
      <c r="J1036" s="173" t="s">
        <v>1498</v>
      </c>
      <c r="K1036" s="241">
        <v>41039</v>
      </c>
      <c r="L1036" s="173" t="s">
        <v>897</v>
      </c>
      <c r="M1036" s="273" t="s">
        <v>780</v>
      </c>
      <c r="N1036" s="256"/>
      <c r="O1036" s="461">
        <f>CompletedProjects[[#This Row],[Power Plant Size (MW) or Share]]*0.593*9057*211.9*10^(-9)</f>
        <v>0</v>
      </c>
      <c r="P1036" s="337">
        <f>CompletedProjects[[#This Row],[Annual Emissions (MMTCO2)]]*40</f>
        <v>0</v>
      </c>
      <c r="Q1036" s="167"/>
      <c r="R1036" s="167" t="s">
        <v>400</v>
      </c>
      <c r="S1036" s="167" t="s">
        <v>465</v>
      </c>
      <c r="T1036" s="167"/>
    </row>
    <row r="1037" spans="1:20" customFormat="1" ht="43">
      <c r="A1037" s="167" t="s">
        <v>1309</v>
      </c>
      <c r="B1037" s="171" t="s">
        <v>559</v>
      </c>
      <c r="C1037" s="171" t="s">
        <v>464</v>
      </c>
      <c r="D1037" s="172">
        <v>341383.58806924644</v>
      </c>
      <c r="E1037" s="173" t="s">
        <v>608</v>
      </c>
      <c r="F1037" s="173" t="s">
        <v>609</v>
      </c>
      <c r="G1037" s="262" t="s">
        <v>803</v>
      </c>
      <c r="H1037" s="173" t="s">
        <v>368</v>
      </c>
      <c r="I1037" s="180" t="s">
        <v>284</v>
      </c>
      <c r="J1037" s="180" t="s">
        <v>284</v>
      </c>
      <c r="K1037" s="240">
        <v>40869</v>
      </c>
      <c r="L1037" s="173" t="s">
        <v>1694</v>
      </c>
      <c r="M1037" s="262"/>
      <c r="N1037" s="337"/>
      <c r="O1037" s="461">
        <f>CompletedProjects[[#This Row],[Power Plant Size (MW) or Share]]*0.593*9057*211.9*10^(-9)</f>
        <v>0</v>
      </c>
      <c r="P1037" s="337">
        <f>CompletedProjects[[#This Row],[Annual Emissions (MMTCO2)]]*40</f>
        <v>0</v>
      </c>
      <c r="Q1037" s="176"/>
      <c r="R1037" s="178"/>
      <c r="S1037" s="167"/>
      <c r="T1037" s="178"/>
    </row>
    <row r="1038" spans="1:20" customFormat="1" ht="43">
      <c r="A1038" s="173" t="s">
        <v>1309</v>
      </c>
      <c r="B1038" s="173" t="s">
        <v>519</v>
      </c>
      <c r="C1038" s="173" t="s">
        <v>464</v>
      </c>
      <c r="D1038" s="172">
        <f>135000000*'Dev Bank Share by Country'!$K$90</f>
        <v>6808050</v>
      </c>
      <c r="E1038" s="173" t="s">
        <v>531</v>
      </c>
      <c r="F1038" s="173" t="s">
        <v>538</v>
      </c>
      <c r="G1038" s="262"/>
      <c r="H1038" s="173" t="s">
        <v>239</v>
      </c>
      <c r="I1038" s="180" t="s">
        <v>283</v>
      </c>
      <c r="J1038" s="173" t="s">
        <v>26</v>
      </c>
      <c r="K1038" s="241">
        <v>40217</v>
      </c>
      <c r="L1038" s="173" t="s">
        <v>539</v>
      </c>
      <c r="M1038" s="262"/>
      <c r="N1038" s="337">
        <f>250/13</f>
        <v>19.23076923076923</v>
      </c>
      <c r="O1038" s="461">
        <f>CompletedProjects[[#This Row],[Power Plant Size (MW) or Share]]*0.593*9057*211.9*10^(-9)</f>
        <v>2.1886014075000002E-2</v>
      </c>
      <c r="P1038" s="337">
        <f>CompletedProjects[[#This Row],[Annual Emissions (MMTCO2)]]*40</f>
        <v>0.87544056300000006</v>
      </c>
      <c r="Q1038" s="176"/>
      <c r="R1038" s="178" t="s">
        <v>540</v>
      </c>
      <c r="S1038" s="167"/>
      <c r="T1038" s="178"/>
    </row>
    <row r="1039" spans="1:20" customFormat="1" ht="57.35">
      <c r="A1039" s="167" t="s">
        <v>1309</v>
      </c>
      <c r="B1039" s="182" t="s">
        <v>559</v>
      </c>
      <c r="C1039" s="182" t="s">
        <v>464</v>
      </c>
      <c r="D1039" s="172">
        <v>287267.96744197333</v>
      </c>
      <c r="E1039" s="173" t="s">
        <v>596</v>
      </c>
      <c r="F1039" s="173" t="s">
        <v>597</v>
      </c>
      <c r="G1039" s="262" t="s">
        <v>797</v>
      </c>
      <c r="H1039" s="173" t="s">
        <v>493</v>
      </c>
      <c r="I1039" s="180" t="s">
        <v>283</v>
      </c>
      <c r="J1039" s="173" t="s">
        <v>277</v>
      </c>
      <c r="K1039" s="240">
        <v>40052</v>
      </c>
      <c r="L1039" s="269" t="s">
        <v>1690</v>
      </c>
      <c r="M1039" s="262" t="s">
        <v>903</v>
      </c>
      <c r="N1039" s="337"/>
      <c r="O1039" s="461">
        <f>CompletedProjects[[#This Row],[Power Plant Size (MW) or Share]]*0.593*9057*211.9*10^(-9)</f>
        <v>0</v>
      </c>
      <c r="P1039" s="337">
        <f>CompletedProjects[[#This Row],[Annual Emissions (MMTCO2)]]*40</f>
        <v>0</v>
      </c>
      <c r="Q1039" s="176"/>
      <c r="R1039" s="178"/>
      <c r="S1039" s="167"/>
      <c r="T1039" s="178"/>
    </row>
    <row r="1040" spans="1:20" customFormat="1" ht="172">
      <c r="A1040" s="167" t="s">
        <v>1309</v>
      </c>
      <c r="B1040" s="167" t="s">
        <v>513</v>
      </c>
      <c r="C1040" s="167" t="s">
        <v>464</v>
      </c>
      <c r="D1040" s="172">
        <f>57000000*'Dev Bank Share by Country'!$C$90</f>
        <v>980400</v>
      </c>
      <c r="E1040" s="173" t="s">
        <v>415</v>
      </c>
      <c r="F1040" s="173" t="s">
        <v>416</v>
      </c>
      <c r="G1040" s="262" t="s">
        <v>772</v>
      </c>
      <c r="H1040" s="173" t="s">
        <v>368</v>
      </c>
      <c r="I1040" s="173" t="s">
        <v>40</v>
      </c>
      <c r="J1040" s="173" t="s">
        <v>417</v>
      </c>
      <c r="K1040" s="241">
        <v>39436</v>
      </c>
      <c r="L1040" s="173" t="s">
        <v>918</v>
      </c>
      <c r="M1040" s="273" t="s">
        <v>895</v>
      </c>
      <c r="N1040" s="256"/>
      <c r="O1040" s="461">
        <f>CompletedProjects[[#This Row],[Power Plant Size (MW) or Share]]*0.593*9057*211.9*10^(-9)</f>
        <v>0</v>
      </c>
      <c r="P1040" s="337">
        <f>CompletedProjects[[#This Row],[Annual Emissions (MMTCO2)]]*40</f>
        <v>0</v>
      </c>
      <c r="Q1040" s="167"/>
      <c r="R1040" s="167" t="s">
        <v>400</v>
      </c>
      <c r="S1040" s="167" t="s">
        <v>633</v>
      </c>
      <c r="T1040" s="167"/>
    </row>
    <row r="1041" spans="1:20" customFormat="1" ht="172">
      <c r="A1041" s="167" t="s">
        <v>36</v>
      </c>
      <c r="B1041" s="182" t="s">
        <v>511</v>
      </c>
      <c r="C1041" s="182" t="s">
        <v>464</v>
      </c>
      <c r="D1041" s="172">
        <f>500000000*'Dev Bank Share by Country'!$G$177</f>
        <v>3085699.321913823</v>
      </c>
      <c r="E1041" s="183" t="s">
        <v>454</v>
      </c>
      <c r="F1041" s="183" t="s">
        <v>514</v>
      </c>
      <c r="G1041" s="262" t="s">
        <v>783</v>
      </c>
      <c r="H1041" s="183" t="s">
        <v>515</v>
      </c>
      <c r="I1041" s="180" t="s">
        <v>283</v>
      </c>
      <c r="J1041" s="183" t="s">
        <v>26</v>
      </c>
      <c r="K1041" s="242">
        <v>41760</v>
      </c>
      <c r="L1041" s="183" t="s">
        <v>833</v>
      </c>
      <c r="M1041" s="262"/>
      <c r="N1041" s="337">
        <f>(270+450)/19</f>
        <v>37.89473684210526</v>
      </c>
      <c r="O1041" s="461">
        <f>CompletedProjects[[#This Row],[Power Plant Size (MW) or Share]]*0.593*9057*211.9*10^(-9)</f>
        <v>4.3126966682526316E-2</v>
      </c>
      <c r="P1041" s="337">
        <f>CompletedProjects[[#This Row],[Annual Emissions (MMTCO2)]]*40</f>
        <v>1.7250786673010525</v>
      </c>
      <c r="Q1041" s="176"/>
      <c r="R1041" s="178" t="s">
        <v>639</v>
      </c>
      <c r="S1041" s="167" t="s">
        <v>465</v>
      </c>
      <c r="T1041" s="178"/>
    </row>
    <row r="1042" spans="1:20" customFormat="1" ht="172">
      <c r="A1042" s="167" t="s">
        <v>36</v>
      </c>
      <c r="B1042" s="167" t="s">
        <v>401</v>
      </c>
      <c r="C1042" s="182" t="s">
        <v>464</v>
      </c>
      <c r="D1042" s="172">
        <f>1120000*'Dev Bank Share by Country'!$E$177</f>
        <v>6760.3419701061575</v>
      </c>
      <c r="E1042" s="173" t="s">
        <v>402</v>
      </c>
      <c r="F1042" s="173" t="s">
        <v>403</v>
      </c>
      <c r="G1042" s="262" t="s">
        <v>785</v>
      </c>
      <c r="H1042" s="173" t="s">
        <v>404</v>
      </c>
      <c r="I1042" s="173" t="s">
        <v>284</v>
      </c>
      <c r="J1042" s="173" t="s">
        <v>1498</v>
      </c>
      <c r="K1042" s="241">
        <v>39224</v>
      </c>
      <c r="L1042" s="173" t="s">
        <v>826</v>
      </c>
      <c r="M1042" s="262" t="s">
        <v>785</v>
      </c>
      <c r="N1042" s="256"/>
      <c r="O1042" s="461">
        <f>CompletedProjects[[#This Row],[Power Plant Size (MW) or Share]]*0.593*9057*211.9*10^(-9)</f>
        <v>0</v>
      </c>
      <c r="P1042" s="337">
        <f>CompletedProjects[[#This Row],[Annual Emissions (MMTCO2)]]*40</f>
        <v>0</v>
      </c>
      <c r="Q1042" s="167"/>
      <c r="R1042" s="167" t="s">
        <v>400</v>
      </c>
      <c r="S1042" s="167" t="s">
        <v>633</v>
      </c>
      <c r="T1042" s="167" t="s">
        <v>537</v>
      </c>
    </row>
    <row r="1043" spans="1:20" customFormat="1" ht="172">
      <c r="A1043" s="167" t="s">
        <v>36</v>
      </c>
      <c r="B1043" s="167" t="s">
        <v>401</v>
      </c>
      <c r="C1043" s="182" t="s">
        <v>464</v>
      </c>
      <c r="D1043" s="172">
        <f>4200000*'Dev Bank Share by Country'!$E$177</f>
        <v>25351.282387898089</v>
      </c>
      <c r="E1043" s="173" t="s">
        <v>448</v>
      </c>
      <c r="F1043" s="173" t="s">
        <v>449</v>
      </c>
      <c r="G1043" s="262" t="s">
        <v>792</v>
      </c>
      <c r="H1043" s="173" t="s">
        <v>450</v>
      </c>
      <c r="I1043" s="173" t="s">
        <v>40</v>
      </c>
      <c r="J1043" s="173" t="s">
        <v>1502</v>
      </c>
      <c r="K1043" s="241">
        <v>41404</v>
      </c>
      <c r="L1043" s="173" t="s">
        <v>925</v>
      </c>
      <c r="M1043" s="262"/>
      <c r="N1043" s="256"/>
      <c r="O1043" s="461">
        <f>CompletedProjects[[#This Row],[Power Plant Size (MW) or Share]]*0.593*9057*211.9*10^(-9)</f>
        <v>0</v>
      </c>
      <c r="P1043" s="337">
        <f>CompletedProjects[[#This Row],[Annual Emissions (MMTCO2)]]*40</f>
        <v>0</v>
      </c>
      <c r="Q1043" s="167"/>
      <c r="R1043" s="167" t="s">
        <v>400</v>
      </c>
      <c r="S1043" s="167" t="s">
        <v>465</v>
      </c>
      <c r="T1043" s="167"/>
    </row>
    <row r="1044" spans="1:20" customFormat="1" ht="157.69999999999999">
      <c r="A1044" s="167" t="s">
        <v>36</v>
      </c>
      <c r="B1044" s="167" t="s">
        <v>513</v>
      </c>
      <c r="C1044" s="182" t="s">
        <v>464</v>
      </c>
      <c r="D1044" s="172">
        <f>180000000*'Dev Bank Share by Country'!$C$177</f>
        <v>2214000</v>
      </c>
      <c r="E1044" s="173" t="s">
        <v>425</v>
      </c>
      <c r="F1044" s="173" t="s">
        <v>426</v>
      </c>
      <c r="G1044" s="262" t="s">
        <v>770</v>
      </c>
      <c r="H1044" s="173" t="s">
        <v>65</v>
      </c>
      <c r="I1044" s="180" t="s">
        <v>283</v>
      </c>
      <c r="J1044" s="173" t="s">
        <v>277</v>
      </c>
      <c r="K1044" s="241">
        <v>39982</v>
      </c>
      <c r="L1044" s="173" t="s">
        <v>921</v>
      </c>
      <c r="M1044" s="273"/>
      <c r="N1044" s="256">
        <f>420/19</f>
        <v>22.105263157894736</v>
      </c>
      <c r="O1044" s="461">
        <f>CompletedProjects[[#This Row],[Power Plant Size (MW) or Share]]*0.593*9057*211.9*10^(-9)</f>
        <v>2.5157397231473682E-2</v>
      </c>
      <c r="P1044" s="337">
        <f>CompletedProjects[[#This Row],[Annual Emissions (MMTCO2)]]*40</f>
        <v>1.0062958892589473</v>
      </c>
      <c r="Q1044" s="167"/>
      <c r="R1044" s="167" t="s">
        <v>638</v>
      </c>
      <c r="S1044" s="167" t="s">
        <v>466</v>
      </c>
      <c r="T1044" s="167"/>
    </row>
    <row r="1045" spans="1:20" customFormat="1" ht="100.35">
      <c r="A1045" s="167" t="s">
        <v>36</v>
      </c>
      <c r="B1045" s="167" t="s">
        <v>511</v>
      </c>
      <c r="C1045" s="167" t="s">
        <v>464</v>
      </c>
      <c r="D1045" s="172">
        <f>25000000*'Dev Bank Share by Country'!$G$177</f>
        <v>154284.96609569117</v>
      </c>
      <c r="E1045" s="173" t="s">
        <v>398</v>
      </c>
      <c r="F1045" s="173" t="s">
        <v>398</v>
      </c>
      <c r="G1045" s="262" t="s">
        <v>787</v>
      </c>
      <c r="H1045" s="173" t="s">
        <v>399</v>
      </c>
      <c r="I1045" s="180" t="s">
        <v>283</v>
      </c>
      <c r="J1045" s="173" t="s">
        <v>26</v>
      </c>
      <c r="K1045" s="241">
        <v>39204</v>
      </c>
      <c r="L1045" s="173" t="s">
        <v>915</v>
      </c>
      <c r="M1045" s="262"/>
      <c r="N1045" s="256">
        <f>30/20</f>
        <v>1.5</v>
      </c>
      <c r="O1045" s="461">
        <f>CompletedProjects[[#This Row],[Power Plant Size (MW) or Share]]*0.593*9057*211.9*10^(-9)</f>
        <v>1.7071090978499999E-3</v>
      </c>
      <c r="P1045" s="337">
        <f>CompletedProjects[[#This Row],[Annual Emissions (MMTCO2)]]*40</f>
        <v>6.8284363914000001E-2</v>
      </c>
      <c r="Q1045" s="176"/>
      <c r="R1045" s="167" t="s">
        <v>635</v>
      </c>
      <c r="S1045" s="167" t="s">
        <v>465</v>
      </c>
      <c r="T1045" s="167"/>
    </row>
    <row r="1046" spans="1:20" customFormat="1" ht="57.35">
      <c r="A1046" s="181" t="s">
        <v>36</v>
      </c>
      <c r="B1046" s="182" t="s">
        <v>559</v>
      </c>
      <c r="C1046" s="182" t="s">
        <v>464</v>
      </c>
      <c r="D1046" s="172">
        <v>1311032.5104406227</v>
      </c>
      <c r="E1046" s="173" t="s">
        <v>592</v>
      </c>
      <c r="F1046" s="173" t="s">
        <v>599</v>
      </c>
      <c r="G1046" s="262" t="s">
        <v>799</v>
      </c>
      <c r="H1046" s="173" t="s">
        <v>201</v>
      </c>
      <c r="I1046" s="173" t="s">
        <v>40</v>
      </c>
      <c r="J1046" s="173" t="s">
        <v>40</v>
      </c>
      <c r="K1046" s="240">
        <v>40310</v>
      </c>
      <c r="L1046" s="173" t="s">
        <v>1692</v>
      </c>
      <c r="M1046" s="262" t="s">
        <v>908</v>
      </c>
      <c r="N1046" s="337"/>
      <c r="O1046" s="461">
        <f>CompletedProjects[[#This Row],[Power Plant Size (MW) or Share]]*0.593*9057*211.9*10^(-9)</f>
        <v>0</v>
      </c>
      <c r="P1046" s="337">
        <f>CompletedProjects[[#This Row],[Annual Emissions (MMTCO2)]]*40</f>
        <v>0</v>
      </c>
      <c r="Q1046" s="176">
        <v>0.3</v>
      </c>
      <c r="R1046" s="178"/>
      <c r="S1046" s="167"/>
      <c r="T1046" s="178"/>
    </row>
    <row r="1047" spans="1:20" customFormat="1" ht="57.35">
      <c r="A1047" s="258" t="s">
        <v>36</v>
      </c>
      <c r="B1047" s="259" t="s">
        <v>1549</v>
      </c>
      <c r="C1047" s="258" t="s">
        <v>337</v>
      </c>
      <c r="D1047" s="321">
        <v>68390000</v>
      </c>
      <c r="E1047" s="259" t="s">
        <v>1550</v>
      </c>
      <c r="F1047" s="259" t="s">
        <v>1551</v>
      </c>
      <c r="G1047" s="275"/>
      <c r="H1047" s="259" t="s">
        <v>36</v>
      </c>
      <c r="I1047" s="173" t="s">
        <v>283</v>
      </c>
      <c r="J1047" s="181" t="s">
        <v>1534</v>
      </c>
      <c r="K1047" s="242">
        <v>42018</v>
      </c>
      <c r="L1047" s="181"/>
      <c r="M1047" s="286" t="s">
        <v>1552</v>
      </c>
      <c r="N1047" s="338">
        <v>330</v>
      </c>
      <c r="O1047" s="461">
        <f>CompletedProjects[[#This Row],[Power Plant Size (MW) or Share]]*0.593*9057*211.9*10^(-9)</f>
        <v>0.37556400152700004</v>
      </c>
      <c r="P1047" s="337">
        <f>CompletedProjects[[#This Row],[Annual Emissions (MMTCO2)]]*40</f>
        <v>15.022560061080002</v>
      </c>
      <c r="Q1047" s="169"/>
      <c r="R1047" s="185"/>
      <c r="S1047" s="258" t="s">
        <v>1563</v>
      </c>
      <c r="T1047" s="185"/>
    </row>
    <row r="1048" spans="1:20" customFormat="1" ht="114.7">
      <c r="A1048" s="167" t="s">
        <v>36</v>
      </c>
      <c r="B1048" s="171" t="s">
        <v>559</v>
      </c>
      <c r="C1048" s="171" t="s">
        <v>464</v>
      </c>
      <c r="D1048" s="172">
        <v>1246945.9999406859</v>
      </c>
      <c r="E1048" s="173" t="s">
        <v>606</v>
      </c>
      <c r="F1048" s="173" t="s">
        <v>607</v>
      </c>
      <c r="G1048" s="262" t="s">
        <v>730</v>
      </c>
      <c r="H1048" s="173" t="s">
        <v>56</v>
      </c>
      <c r="I1048" s="173" t="s">
        <v>40</v>
      </c>
      <c r="J1048" s="173" t="s">
        <v>40</v>
      </c>
      <c r="K1048" s="240">
        <v>40750</v>
      </c>
      <c r="L1048" s="173" t="s">
        <v>1696</v>
      </c>
      <c r="M1048" s="262" t="s">
        <v>912</v>
      </c>
      <c r="N1048" s="337"/>
      <c r="O1048" s="461">
        <f>CompletedProjects[[#This Row],[Power Plant Size (MW) or Share]]*0.593*9057*211.9*10^(-9)</f>
        <v>0</v>
      </c>
      <c r="P1048" s="337">
        <f>CompletedProjects[[#This Row],[Annual Emissions (MMTCO2)]]*40</f>
        <v>0</v>
      </c>
      <c r="Q1048" s="176"/>
      <c r="R1048" s="178"/>
      <c r="S1048" s="167"/>
      <c r="T1048" s="178"/>
    </row>
    <row r="1049" spans="1:20" customFormat="1" ht="229.35">
      <c r="A1049" s="167" t="s">
        <v>36</v>
      </c>
      <c r="B1049" s="167" t="s">
        <v>513</v>
      </c>
      <c r="C1049" s="167" t="s">
        <v>464</v>
      </c>
      <c r="D1049" s="172">
        <f>180000000*'Dev Bank Share by Country'!$C$177</f>
        <v>2214000</v>
      </c>
      <c r="E1049" s="173" t="s">
        <v>425</v>
      </c>
      <c r="F1049" s="173" t="s">
        <v>427</v>
      </c>
      <c r="G1049" s="262" t="s">
        <v>778</v>
      </c>
      <c r="H1049" s="173" t="s">
        <v>65</v>
      </c>
      <c r="I1049" s="173" t="s">
        <v>1507</v>
      </c>
      <c r="J1049" s="173" t="s">
        <v>428</v>
      </c>
      <c r="K1049" s="241">
        <v>40078</v>
      </c>
      <c r="L1049" s="173" t="s">
        <v>824</v>
      </c>
      <c r="M1049" s="262"/>
      <c r="N1049" s="256"/>
      <c r="O1049" s="461">
        <f>CompletedProjects[[#This Row],[Power Plant Size (MW) or Share]]*0.593*9057*211.9*10^(-9)</f>
        <v>0</v>
      </c>
      <c r="P1049" s="337">
        <f>CompletedProjects[[#This Row],[Annual Emissions (MMTCO2)]]*40</f>
        <v>0</v>
      </c>
      <c r="Q1049" s="167"/>
      <c r="R1049" s="167" t="s">
        <v>400</v>
      </c>
      <c r="S1049" s="167" t="s">
        <v>465</v>
      </c>
      <c r="T1049" s="167"/>
    </row>
    <row r="1050" spans="1:20" customFormat="1" ht="100.35">
      <c r="A1050" s="167" t="s">
        <v>36</v>
      </c>
      <c r="B1050" s="171" t="s">
        <v>511</v>
      </c>
      <c r="C1050" s="171" t="s">
        <v>464</v>
      </c>
      <c r="D1050" s="172">
        <f>46500000*'Dev Bank Share by Country'!$G$177</f>
        <v>286970.03693798557</v>
      </c>
      <c r="E1050" s="173" t="s">
        <v>423</v>
      </c>
      <c r="F1050" s="173" t="s">
        <v>424</v>
      </c>
      <c r="G1050" s="262" t="s">
        <v>774</v>
      </c>
      <c r="H1050" s="173" t="s">
        <v>65</v>
      </c>
      <c r="I1050" s="173" t="s">
        <v>284</v>
      </c>
      <c r="J1050" s="173" t="s">
        <v>79</v>
      </c>
      <c r="K1050" s="241">
        <v>39898</v>
      </c>
      <c r="L1050" s="173" t="s">
        <v>920</v>
      </c>
      <c r="M1050" s="273"/>
      <c r="N1050" s="256"/>
      <c r="O1050" s="461">
        <f>CompletedProjects[[#This Row],[Power Plant Size (MW) or Share]]*0.593*9057*211.9*10^(-9)</f>
        <v>0</v>
      </c>
      <c r="P1050" s="337">
        <f>CompletedProjects[[#This Row],[Annual Emissions (MMTCO2)]]*40</f>
        <v>0</v>
      </c>
      <c r="Q1050" s="167"/>
      <c r="R1050" s="167" t="s">
        <v>400</v>
      </c>
      <c r="S1050" s="167" t="s">
        <v>465</v>
      </c>
      <c r="T1050" s="167"/>
    </row>
    <row r="1051" spans="1:20" customFormat="1" ht="71.7">
      <c r="A1051" s="167" t="s">
        <v>36</v>
      </c>
      <c r="B1051" s="186" t="s">
        <v>519</v>
      </c>
      <c r="C1051" s="167" t="s">
        <v>464</v>
      </c>
      <c r="D1051" s="172">
        <f>500000*'Dev Bank Share by Country'!$K$177</f>
        <v>1700</v>
      </c>
      <c r="E1051" s="173" t="s">
        <v>531</v>
      </c>
      <c r="F1051" s="173" t="s">
        <v>532</v>
      </c>
      <c r="G1051" s="262"/>
      <c r="H1051" s="173" t="s">
        <v>239</v>
      </c>
      <c r="I1051" s="180" t="s">
        <v>283</v>
      </c>
      <c r="J1051" s="173" t="s">
        <v>26</v>
      </c>
      <c r="K1051" s="241">
        <v>40035</v>
      </c>
      <c r="L1051" s="173" t="s">
        <v>1710</v>
      </c>
      <c r="M1051" s="262"/>
      <c r="N1051" s="337">
        <f>600/13</f>
        <v>46.153846153846153</v>
      </c>
      <c r="O1051" s="461">
        <f>CompletedProjects[[#This Row],[Power Plant Size (MW) or Share]]*0.593*9057*211.9*10^(-9)</f>
        <v>5.2526433780000006E-2</v>
      </c>
      <c r="P1051" s="337">
        <f>CompletedProjects[[#This Row],[Annual Emissions (MMTCO2)]]*40</f>
        <v>2.1010573512000001</v>
      </c>
      <c r="Q1051" s="176"/>
      <c r="R1051" s="178" t="s">
        <v>524</v>
      </c>
      <c r="S1051" s="167"/>
      <c r="T1051" s="178"/>
    </row>
    <row r="1052" spans="1:20" customFormat="1" ht="272.35000000000002">
      <c r="A1052" s="167" t="s">
        <v>36</v>
      </c>
      <c r="B1052" s="167" t="s">
        <v>513</v>
      </c>
      <c r="C1052" s="171" t="s">
        <v>464</v>
      </c>
      <c r="D1052" s="172">
        <f>29600000*'Dev Bank Share by Country'!$C$177</f>
        <v>364080</v>
      </c>
      <c r="E1052" s="173" t="s">
        <v>266</v>
      </c>
      <c r="F1052" s="173" t="s">
        <v>444</v>
      </c>
      <c r="G1052" s="262" t="s">
        <v>781</v>
      </c>
      <c r="H1052" s="173" t="s">
        <v>85</v>
      </c>
      <c r="I1052" s="173" t="s">
        <v>284</v>
      </c>
      <c r="J1052" s="173" t="s">
        <v>1498</v>
      </c>
      <c r="K1052" s="241">
        <v>41163</v>
      </c>
      <c r="L1052" s="173" t="s">
        <v>825</v>
      </c>
      <c r="M1052" s="262"/>
      <c r="N1052" s="256"/>
      <c r="O1052" s="461">
        <f>CompletedProjects[[#This Row],[Power Plant Size (MW) or Share]]*0.593*9057*211.9*10^(-9)</f>
        <v>0</v>
      </c>
      <c r="P1052" s="337">
        <f>CompletedProjects[[#This Row],[Annual Emissions (MMTCO2)]]*40</f>
        <v>0</v>
      </c>
      <c r="Q1052" s="167"/>
      <c r="R1052" s="167" t="s">
        <v>400</v>
      </c>
      <c r="S1052" s="167" t="s">
        <v>465</v>
      </c>
      <c r="T1052" s="167"/>
    </row>
    <row r="1053" spans="1:20" customFormat="1" ht="43">
      <c r="A1053" s="167" t="s">
        <v>36</v>
      </c>
      <c r="B1053" s="182" t="s">
        <v>559</v>
      </c>
      <c r="C1053" s="182" t="s">
        <v>464</v>
      </c>
      <c r="D1053" s="172">
        <v>183396.67669388824</v>
      </c>
      <c r="E1053" s="173" t="s">
        <v>598</v>
      </c>
      <c r="F1053" s="173" t="s">
        <v>598</v>
      </c>
      <c r="G1053" s="262" t="s">
        <v>798</v>
      </c>
      <c r="H1053" s="173" t="s">
        <v>201</v>
      </c>
      <c r="I1053" s="173" t="s">
        <v>40</v>
      </c>
      <c r="J1053" s="173" t="s">
        <v>40</v>
      </c>
      <c r="K1053" s="240">
        <v>40199</v>
      </c>
      <c r="L1053" s="269" t="s">
        <v>1691</v>
      </c>
      <c r="M1053" s="262"/>
      <c r="N1053" s="337"/>
      <c r="O1053" s="461">
        <f>CompletedProjects[[#This Row],[Power Plant Size (MW) or Share]]*0.593*9057*211.9*10^(-9)</f>
        <v>0</v>
      </c>
      <c r="P1053" s="337">
        <f>CompletedProjects[[#This Row],[Annual Emissions (MMTCO2)]]*40</f>
        <v>0</v>
      </c>
      <c r="Q1053" s="176"/>
      <c r="R1053" s="178"/>
      <c r="S1053" s="167"/>
      <c r="T1053" s="178"/>
    </row>
    <row r="1054" spans="1:20" customFormat="1" ht="157.69999999999999">
      <c r="A1054" s="167" t="s">
        <v>36</v>
      </c>
      <c r="B1054" s="167" t="s">
        <v>401</v>
      </c>
      <c r="C1054" s="182" t="s">
        <v>464</v>
      </c>
      <c r="D1054" s="172">
        <f>2000000*'Dev Bank Share by Country'!$E$177</f>
        <v>12072.039232332423</v>
      </c>
      <c r="E1054" s="173" t="s">
        <v>410</v>
      </c>
      <c r="F1054" s="173" t="s">
        <v>411</v>
      </c>
      <c r="G1054" s="262" t="s">
        <v>777</v>
      </c>
      <c r="H1054" s="173" t="s">
        <v>412</v>
      </c>
      <c r="I1054" s="173" t="s">
        <v>284</v>
      </c>
      <c r="J1054" s="173" t="s">
        <v>1498</v>
      </c>
      <c r="K1054" s="241">
        <v>39261</v>
      </c>
      <c r="L1054" s="173" t="s">
        <v>916</v>
      </c>
      <c r="M1054" s="262"/>
      <c r="N1054" s="256"/>
      <c r="O1054" s="461">
        <f>CompletedProjects[[#This Row],[Power Plant Size (MW) or Share]]*0.593*9057*211.9*10^(-9)</f>
        <v>0</v>
      </c>
      <c r="P1054" s="337">
        <f>CompletedProjects[[#This Row],[Annual Emissions (MMTCO2)]]*40</f>
        <v>0</v>
      </c>
      <c r="Q1054" s="167"/>
      <c r="R1054" s="167" t="s">
        <v>400</v>
      </c>
      <c r="S1054" s="167" t="s">
        <v>633</v>
      </c>
      <c r="T1054" s="167"/>
    </row>
    <row r="1055" spans="1:20" customFormat="1" ht="114.7">
      <c r="A1055" s="167" t="s">
        <v>36</v>
      </c>
      <c r="B1055" s="167" t="s">
        <v>513</v>
      </c>
      <c r="C1055" s="182" t="s">
        <v>464</v>
      </c>
      <c r="D1055" s="172">
        <f>180000000*'Dev Bank Share by Country'!$C$177</f>
        <v>2214000</v>
      </c>
      <c r="E1055" s="173" t="s">
        <v>41</v>
      </c>
      <c r="F1055" s="173" t="s">
        <v>432</v>
      </c>
      <c r="G1055" s="262" t="s">
        <v>773</v>
      </c>
      <c r="H1055" s="173" t="s">
        <v>25</v>
      </c>
      <c r="I1055" s="180" t="s">
        <v>283</v>
      </c>
      <c r="J1055" s="173" t="s">
        <v>26</v>
      </c>
      <c r="K1055" s="241">
        <v>40276</v>
      </c>
      <c r="L1055" s="173" t="s">
        <v>923</v>
      </c>
      <c r="M1055" s="273"/>
      <c r="N1055" s="337">
        <f>4800/19/2</f>
        <v>126.31578947368421</v>
      </c>
      <c r="O1055" s="461">
        <f>CompletedProjects[[#This Row],[Power Plant Size (MW) or Share]]*0.593*9057*211.9*10^(-9)</f>
        <v>0.14375655560842107</v>
      </c>
      <c r="P1055" s="337">
        <f>CompletedProjects[[#This Row],[Annual Emissions (MMTCO2)]]*40</f>
        <v>5.7502622243368426</v>
      </c>
      <c r="Q1055" s="167"/>
      <c r="R1055" s="178" t="s">
        <v>643</v>
      </c>
      <c r="S1055" s="167" t="s">
        <v>465</v>
      </c>
      <c r="T1055" s="178"/>
    </row>
    <row r="1056" spans="1:20" customFormat="1" ht="43">
      <c r="A1056" s="167" t="s">
        <v>36</v>
      </c>
      <c r="B1056" s="171" t="s">
        <v>559</v>
      </c>
      <c r="C1056" s="171" t="s">
        <v>464</v>
      </c>
      <c r="D1056" s="172">
        <v>216041.53686099211</v>
      </c>
      <c r="E1056" s="173" t="s">
        <v>592</v>
      </c>
      <c r="F1056" s="173" t="s">
        <v>593</v>
      </c>
      <c r="G1056" s="262" t="s">
        <v>795</v>
      </c>
      <c r="H1056" s="173" t="s">
        <v>201</v>
      </c>
      <c r="I1056" s="173" t="s">
        <v>40</v>
      </c>
      <c r="J1056" s="173" t="s">
        <v>40</v>
      </c>
      <c r="K1056" s="240">
        <v>39854</v>
      </c>
      <c r="L1056" s="183" t="s">
        <v>1689</v>
      </c>
      <c r="M1056" s="262"/>
      <c r="N1056" s="337"/>
      <c r="O1056" s="461">
        <f>CompletedProjects[[#This Row],[Power Plant Size (MW) or Share]]*0.593*9057*211.9*10^(-9)</f>
        <v>0</v>
      </c>
      <c r="P1056" s="337">
        <f>CompletedProjects[[#This Row],[Annual Emissions (MMTCO2)]]*40</f>
        <v>0</v>
      </c>
      <c r="Q1056" s="176"/>
      <c r="R1056" s="173" t="s">
        <v>907</v>
      </c>
      <c r="S1056" s="167"/>
      <c r="T1056" s="173"/>
    </row>
    <row r="1057" spans="1:20" customFormat="1" ht="100.35">
      <c r="A1057" s="167" t="s">
        <v>36</v>
      </c>
      <c r="B1057" s="167" t="s">
        <v>513</v>
      </c>
      <c r="C1057" s="167" t="s">
        <v>464</v>
      </c>
      <c r="D1057" s="172">
        <f>379060000*'Dev Bank Share by Country'!$C$177</f>
        <v>4662438</v>
      </c>
      <c r="E1057" s="173" t="s">
        <v>429</v>
      </c>
      <c r="F1057" s="173" t="s">
        <v>430</v>
      </c>
      <c r="G1057" s="262" t="s">
        <v>779</v>
      </c>
      <c r="H1057" s="173" t="s">
        <v>431</v>
      </c>
      <c r="I1057" s="180" t="s">
        <v>283</v>
      </c>
      <c r="J1057" s="173" t="s">
        <v>26</v>
      </c>
      <c r="K1057" s="241">
        <v>40115</v>
      </c>
      <c r="L1057" s="173" t="s">
        <v>922</v>
      </c>
      <c r="M1057" s="262"/>
      <c r="N1057" s="337">
        <f>600/19/2</f>
        <v>15.789473684210526</v>
      </c>
      <c r="O1057" s="461">
        <f>CompletedProjects[[#This Row],[Power Plant Size (MW) or Share]]*0.593*9057*211.9*10^(-9)</f>
        <v>1.7969569451052634E-2</v>
      </c>
      <c r="P1057" s="337">
        <f>CompletedProjects[[#This Row],[Annual Emissions (MMTCO2)]]*40</f>
        <v>0.71878277804210533</v>
      </c>
      <c r="Q1057" s="167"/>
      <c r="R1057" s="178" t="s">
        <v>640</v>
      </c>
      <c r="S1057" s="167" t="s">
        <v>633</v>
      </c>
      <c r="T1057" s="178"/>
    </row>
    <row r="1058" spans="1:20" customFormat="1" ht="172">
      <c r="A1058" s="167" t="s">
        <v>36</v>
      </c>
      <c r="B1058" s="167" t="s">
        <v>401</v>
      </c>
      <c r="C1058" s="171" t="s">
        <v>464</v>
      </c>
      <c r="D1058" s="172">
        <f>21000000*'Dev Bank Share by Country'!$E$177</f>
        <v>126756.41193949046</v>
      </c>
      <c r="E1058" s="173" t="s">
        <v>451</v>
      </c>
      <c r="F1058" s="173" t="s">
        <v>452</v>
      </c>
      <c r="G1058" s="262" t="s">
        <v>793</v>
      </c>
      <c r="H1058" s="173" t="s">
        <v>453</v>
      </c>
      <c r="I1058" s="173" t="s">
        <v>284</v>
      </c>
      <c r="J1058" s="173" t="s">
        <v>1498</v>
      </c>
      <c r="K1058" s="241">
        <v>41471</v>
      </c>
      <c r="L1058" s="173" t="s">
        <v>926</v>
      </c>
      <c r="M1058" s="262" t="s">
        <v>898</v>
      </c>
      <c r="N1058" s="256"/>
      <c r="O1058" s="461">
        <f>CompletedProjects[[#This Row],[Power Plant Size (MW) or Share]]*0.593*9057*211.9*10^(-9)</f>
        <v>0</v>
      </c>
      <c r="P1058" s="337">
        <f>CompletedProjects[[#This Row],[Annual Emissions (MMTCO2)]]*40</f>
        <v>0</v>
      </c>
      <c r="Q1058" s="167"/>
      <c r="R1058" s="167" t="s">
        <v>400</v>
      </c>
      <c r="S1058" s="167" t="s">
        <v>633</v>
      </c>
      <c r="T1058" s="167" t="s">
        <v>537</v>
      </c>
    </row>
    <row r="1059" spans="1:20" customFormat="1" ht="172">
      <c r="A1059" s="167" t="s">
        <v>36</v>
      </c>
      <c r="B1059" s="167" t="s">
        <v>401</v>
      </c>
      <c r="C1059" s="171" t="s">
        <v>464</v>
      </c>
      <c r="D1059" s="172">
        <f>12100000*'Dev Bank Share by Country'!$E$177</f>
        <v>73035.837355611162</v>
      </c>
      <c r="E1059" s="173" t="s">
        <v>451</v>
      </c>
      <c r="F1059" s="173" t="s">
        <v>452</v>
      </c>
      <c r="G1059" s="262" t="s">
        <v>793</v>
      </c>
      <c r="H1059" s="173" t="s">
        <v>453</v>
      </c>
      <c r="I1059" s="173" t="s">
        <v>284</v>
      </c>
      <c r="J1059" s="173" t="s">
        <v>1498</v>
      </c>
      <c r="K1059" s="241">
        <v>41471</v>
      </c>
      <c r="L1059" s="173" t="s">
        <v>926</v>
      </c>
      <c r="M1059" s="262" t="s">
        <v>898</v>
      </c>
      <c r="N1059" s="256"/>
      <c r="O1059" s="461">
        <f>CompletedProjects[[#This Row],[Power Plant Size (MW) or Share]]*0.593*9057*211.9*10^(-9)</f>
        <v>0</v>
      </c>
      <c r="P1059" s="337">
        <f>CompletedProjects[[#This Row],[Annual Emissions (MMTCO2)]]*40</f>
        <v>0</v>
      </c>
      <c r="Q1059" s="167"/>
      <c r="R1059" s="167" t="s">
        <v>400</v>
      </c>
      <c r="S1059" s="167" t="s">
        <v>633</v>
      </c>
      <c r="T1059" s="167" t="s">
        <v>537</v>
      </c>
    </row>
    <row r="1060" spans="1:20" customFormat="1" ht="215">
      <c r="A1060" s="167" t="s">
        <v>36</v>
      </c>
      <c r="B1060" s="171" t="s">
        <v>511</v>
      </c>
      <c r="C1060" s="171" t="s">
        <v>464</v>
      </c>
      <c r="D1060" s="172">
        <f>28000000*'Dev Bank Share by Country'!$G$177</f>
        <v>172799.16202717411</v>
      </c>
      <c r="E1060" s="173" t="s">
        <v>446</v>
      </c>
      <c r="F1060" s="173" t="s">
        <v>447</v>
      </c>
      <c r="G1060" s="262" t="s">
        <v>782</v>
      </c>
      <c r="H1060" s="173" t="s">
        <v>201</v>
      </c>
      <c r="I1060" s="173" t="s">
        <v>284</v>
      </c>
      <c r="J1060" s="173" t="s">
        <v>1498</v>
      </c>
      <c r="K1060" s="241">
        <v>41333</v>
      </c>
      <c r="L1060" s="173" t="s">
        <v>832</v>
      </c>
      <c r="M1060" s="262"/>
      <c r="N1060" s="256">
        <f>750/19</f>
        <v>39.473684210526315</v>
      </c>
      <c r="O1060" s="461">
        <f>CompletedProjects[[#This Row],[Power Plant Size (MW) or Share]]*0.593*9057*211.9*10^(-9)</f>
        <v>4.4923923627631576E-2</v>
      </c>
      <c r="P1060" s="337">
        <f>CompletedProjects[[#This Row],[Annual Emissions (MMTCO2)]]*40</f>
        <v>1.7969569451052632</v>
      </c>
      <c r="Q1060" s="167"/>
      <c r="R1060" s="167" t="s">
        <v>639</v>
      </c>
      <c r="S1060" s="167"/>
      <c r="T1060" s="167"/>
    </row>
    <row r="1061" spans="1:20" customFormat="1" ht="86">
      <c r="A1061" s="167" t="s">
        <v>36</v>
      </c>
      <c r="B1061" s="171" t="s">
        <v>511</v>
      </c>
      <c r="C1061" s="171" t="s">
        <v>464</v>
      </c>
      <c r="D1061" s="172">
        <f>45500000*'Dev Bank Share by Country'!$G$177</f>
        <v>280798.63829415792</v>
      </c>
      <c r="E1061" s="173" t="s">
        <v>440</v>
      </c>
      <c r="F1061" s="173" t="s">
        <v>441</v>
      </c>
      <c r="G1061" s="262" t="s">
        <v>771</v>
      </c>
      <c r="H1061" s="173" t="s">
        <v>442</v>
      </c>
      <c r="I1061" s="173" t="s">
        <v>40</v>
      </c>
      <c r="J1061" s="173" t="s">
        <v>443</v>
      </c>
      <c r="K1061" s="241">
        <v>41060</v>
      </c>
      <c r="L1061" s="173" t="s">
        <v>924</v>
      </c>
      <c r="M1061" s="273"/>
      <c r="N1061" s="256"/>
      <c r="O1061" s="461">
        <f>CompletedProjects[[#This Row],[Power Plant Size (MW) or Share]]*0.593*9057*211.9*10^(-9)</f>
        <v>0</v>
      </c>
      <c r="P1061" s="337">
        <f>CompletedProjects[[#This Row],[Annual Emissions (MMTCO2)]]*40</f>
        <v>0</v>
      </c>
      <c r="Q1061" s="167"/>
      <c r="R1061" s="167" t="s">
        <v>400</v>
      </c>
      <c r="S1061" s="167" t="s">
        <v>465</v>
      </c>
      <c r="T1061" s="167"/>
    </row>
    <row r="1062" spans="1:20" customFormat="1" ht="71.7">
      <c r="A1062" s="167" t="s">
        <v>36</v>
      </c>
      <c r="B1062" s="186" t="s">
        <v>519</v>
      </c>
      <c r="C1062" s="167" t="s">
        <v>464</v>
      </c>
      <c r="D1062" s="172">
        <f>900525000*'Dev Bank Share by Country'!$K$177</f>
        <v>3061785</v>
      </c>
      <c r="E1062" s="173" t="s">
        <v>510</v>
      </c>
      <c r="F1062" s="173" t="s">
        <v>541</v>
      </c>
      <c r="G1062" s="262"/>
      <c r="H1062" s="173" t="s">
        <v>442</v>
      </c>
      <c r="I1062" s="180" t="s">
        <v>283</v>
      </c>
      <c r="J1062" s="173" t="s">
        <v>26</v>
      </c>
      <c r="K1062" s="241">
        <v>41617</v>
      </c>
      <c r="L1062" s="178" t="s">
        <v>1712</v>
      </c>
      <c r="M1062" s="262" t="s">
        <v>902</v>
      </c>
      <c r="N1062" s="337">
        <f>600/13</f>
        <v>46.153846153846153</v>
      </c>
      <c r="O1062" s="461">
        <f>CompletedProjects[[#This Row],[Power Plant Size (MW) or Share]]*0.593*9057*211.9*10^(-9)</f>
        <v>5.2526433780000006E-2</v>
      </c>
      <c r="P1062" s="337">
        <f>CompletedProjects[[#This Row],[Annual Emissions (MMTCO2)]]*40</f>
        <v>2.1010573512000001</v>
      </c>
      <c r="Q1062" s="176"/>
      <c r="R1062" s="178" t="s">
        <v>524</v>
      </c>
      <c r="S1062" s="167"/>
      <c r="T1062" s="178"/>
    </row>
    <row r="1063" spans="1:20" customFormat="1" ht="43">
      <c r="A1063" s="167" t="s">
        <v>36</v>
      </c>
      <c r="B1063" s="171" t="s">
        <v>511</v>
      </c>
      <c r="C1063" s="171" t="s">
        <v>464</v>
      </c>
      <c r="D1063" s="172">
        <f>740000000*'Dev Bank Share by Country'!$G$177</f>
        <v>4566834.9964324581</v>
      </c>
      <c r="E1063" s="173" t="s">
        <v>418</v>
      </c>
      <c r="F1063" s="173" t="s">
        <v>419</v>
      </c>
      <c r="G1063" s="262" t="s">
        <v>765</v>
      </c>
      <c r="H1063" s="173" t="s">
        <v>144</v>
      </c>
      <c r="I1063" s="180" t="s">
        <v>283</v>
      </c>
      <c r="J1063" s="173" t="s">
        <v>26</v>
      </c>
      <c r="K1063" s="241">
        <v>39520</v>
      </c>
      <c r="L1063" s="202" t="s">
        <v>817</v>
      </c>
      <c r="M1063" s="262"/>
      <c r="N1063" s="256">
        <f>330/19</f>
        <v>17.368421052631579</v>
      </c>
      <c r="O1063" s="461">
        <f>CompletedProjects[[#This Row],[Power Plant Size (MW) or Share]]*0.593*9057*211.9*10^(-9)</f>
        <v>1.9766526396157894E-2</v>
      </c>
      <c r="P1063" s="337">
        <f>CompletedProjects[[#This Row],[Annual Emissions (MMTCO2)]]*40</f>
        <v>0.79066105584631574</v>
      </c>
      <c r="Q1063" s="176"/>
      <c r="R1063" s="167" t="s">
        <v>400</v>
      </c>
      <c r="S1063" s="167" t="s">
        <v>633</v>
      </c>
      <c r="T1063" s="167"/>
    </row>
    <row r="1064" spans="1:20" customFormat="1" ht="71.7">
      <c r="A1064" s="167" t="s">
        <v>36</v>
      </c>
      <c r="B1064" s="186" t="s">
        <v>519</v>
      </c>
      <c r="C1064" s="167" t="s">
        <v>464</v>
      </c>
      <c r="D1064" s="172">
        <f>350000*'Dev Bank Share by Country'!$K$177</f>
        <v>1190</v>
      </c>
      <c r="E1064" s="173" t="s">
        <v>542</v>
      </c>
      <c r="F1064" s="173" t="s">
        <v>543</v>
      </c>
      <c r="G1064" s="262"/>
      <c r="H1064" s="173" t="s">
        <v>201</v>
      </c>
      <c r="I1064" s="173" t="s">
        <v>40</v>
      </c>
      <c r="J1064" s="173" t="s">
        <v>40</v>
      </c>
      <c r="K1064" s="241">
        <v>41977</v>
      </c>
      <c r="L1064" s="173" t="s">
        <v>1713</v>
      </c>
      <c r="M1064" s="262" t="s">
        <v>805</v>
      </c>
      <c r="N1064" s="102"/>
      <c r="O1064" s="461">
        <f>CompletedProjects[[#This Row],[Power Plant Size (MW) or Share]]*0.593*9057*211.9*10^(-9)</f>
        <v>0</v>
      </c>
      <c r="P1064" s="337">
        <f>CompletedProjects[[#This Row],[Annual Emissions (MMTCO2)]]*40</f>
        <v>0</v>
      </c>
      <c r="Q1064" s="173"/>
      <c r="R1064" s="178"/>
      <c r="S1064" s="167"/>
      <c r="T1064" s="178"/>
    </row>
    <row r="1065" spans="1:20" customFormat="1" ht="43">
      <c r="A1065" s="218" t="s">
        <v>36</v>
      </c>
      <c r="B1065" s="218" t="s">
        <v>559</v>
      </c>
      <c r="C1065" s="218" t="s">
        <v>464</v>
      </c>
      <c r="D1065" s="172">
        <v>647638.15832461673</v>
      </c>
      <c r="E1065" s="173" t="s">
        <v>602</v>
      </c>
      <c r="F1065" s="173" t="s">
        <v>603</v>
      </c>
      <c r="G1065" s="262" t="s">
        <v>801</v>
      </c>
      <c r="H1065" s="173" t="s">
        <v>39</v>
      </c>
      <c r="I1065" s="180" t="s">
        <v>283</v>
      </c>
      <c r="J1065" s="173" t="s">
        <v>277</v>
      </c>
      <c r="K1065" s="240">
        <v>40561</v>
      </c>
      <c r="L1065" s="173" t="s">
        <v>910</v>
      </c>
      <c r="M1065" s="262"/>
      <c r="N1065" s="337">
        <f>60/12</f>
        <v>5</v>
      </c>
      <c r="O1065" s="461">
        <f>CompletedProjects[[#This Row],[Power Plant Size (MW) or Share]]*0.593*9057*211.9*10^(-9)</f>
        <v>5.6903636594999992E-3</v>
      </c>
      <c r="P1065" s="337">
        <f>CompletedProjects[[#This Row],[Annual Emissions (MMTCO2)]]*40</f>
        <v>0.22761454637999998</v>
      </c>
      <c r="Q1065" s="176"/>
      <c r="R1065" s="178" t="s">
        <v>537</v>
      </c>
      <c r="S1065" s="167"/>
      <c r="T1065" s="178"/>
    </row>
    <row r="1066" spans="1:20" customFormat="1" ht="57.35">
      <c r="A1066" s="167" t="s">
        <v>36</v>
      </c>
      <c r="B1066" s="182" t="s">
        <v>559</v>
      </c>
      <c r="C1066" s="182" t="s">
        <v>464</v>
      </c>
      <c r="D1066" s="172">
        <v>816842.68563278671</v>
      </c>
      <c r="E1066" s="173" t="s">
        <v>610</v>
      </c>
      <c r="F1066" s="173" t="s">
        <v>610</v>
      </c>
      <c r="G1066" s="262" t="s">
        <v>1604</v>
      </c>
      <c r="H1066" s="173" t="s">
        <v>368</v>
      </c>
      <c r="I1066" s="173" t="s">
        <v>40</v>
      </c>
      <c r="J1066" s="173" t="s">
        <v>40</v>
      </c>
      <c r="K1066" s="240">
        <v>41264</v>
      </c>
      <c r="L1066" s="173" t="s">
        <v>1695</v>
      </c>
      <c r="M1066" s="262"/>
      <c r="N1066" s="337"/>
      <c r="O1066" s="461">
        <f>CompletedProjects[[#This Row],[Power Plant Size (MW) or Share]]*0.593*9057*211.9*10^(-9)</f>
        <v>0</v>
      </c>
      <c r="P1066" s="337">
        <f>CompletedProjects[[#This Row],[Annual Emissions (MMTCO2)]]*40</f>
        <v>0</v>
      </c>
      <c r="Q1066" s="176"/>
      <c r="R1066" s="178"/>
      <c r="S1066" s="167"/>
      <c r="T1066" s="178"/>
    </row>
    <row r="1067" spans="1:20" customFormat="1" ht="258">
      <c r="A1067" s="167" t="s">
        <v>36</v>
      </c>
      <c r="B1067" s="167" t="s">
        <v>401</v>
      </c>
      <c r="C1067" s="182" t="s">
        <v>464</v>
      </c>
      <c r="D1067" s="172">
        <f>11000000*'Dev Bank Share by Country'!$E$177</f>
        <v>66396.215777828329</v>
      </c>
      <c r="E1067" s="173" t="s">
        <v>420</v>
      </c>
      <c r="F1067" s="173" t="s">
        <v>421</v>
      </c>
      <c r="G1067" s="262" t="s">
        <v>769</v>
      </c>
      <c r="H1067" s="173" t="s">
        <v>422</v>
      </c>
      <c r="I1067" s="180" t="s">
        <v>283</v>
      </c>
      <c r="J1067" s="173" t="s">
        <v>277</v>
      </c>
      <c r="K1067" s="241">
        <v>39777</v>
      </c>
      <c r="L1067" s="197"/>
      <c r="M1067" s="273"/>
      <c r="N1067" s="256"/>
      <c r="O1067" s="461">
        <f>CompletedProjects[[#This Row],[Power Plant Size (MW) or Share]]*0.593*9057*211.9*10^(-9)</f>
        <v>0</v>
      </c>
      <c r="P1067" s="337">
        <f>CompletedProjects[[#This Row],[Annual Emissions (MMTCO2)]]*40</f>
        <v>0</v>
      </c>
      <c r="Q1067" s="167"/>
      <c r="R1067" s="173" t="s">
        <v>834</v>
      </c>
      <c r="S1067" s="167" t="s">
        <v>633</v>
      </c>
      <c r="T1067" s="173"/>
    </row>
    <row r="1068" spans="1:20" customFormat="1" ht="215">
      <c r="A1068" s="167" t="s">
        <v>36</v>
      </c>
      <c r="B1068" s="167" t="s">
        <v>401</v>
      </c>
      <c r="C1068" s="182" t="s">
        <v>464</v>
      </c>
      <c r="D1068" s="172">
        <f>200000000*'Dev Bank Share by Country'!$E$177</f>
        <v>1207203.9232332425</v>
      </c>
      <c r="E1068" s="173" t="s">
        <v>461</v>
      </c>
      <c r="F1068" s="173" t="s">
        <v>462</v>
      </c>
      <c r="G1068" s="262" t="s">
        <v>795</v>
      </c>
      <c r="H1068" s="173" t="s">
        <v>442</v>
      </c>
      <c r="I1068" s="173" t="s">
        <v>284</v>
      </c>
      <c r="J1068" s="173" t="s">
        <v>1498</v>
      </c>
      <c r="K1068" s="241">
        <v>41760</v>
      </c>
      <c r="L1068" s="173" t="s">
        <v>831</v>
      </c>
      <c r="M1068" s="262" t="s">
        <v>830</v>
      </c>
      <c r="N1068" s="256"/>
      <c r="O1068" s="461">
        <f>CompletedProjects[[#This Row],[Power Plant Size (MW) or Share]]*0.593*9057*211.9*10^(-9)</f>
        <v>0</v>
      </c>
      <c r="P1068" s="337">
        <f>CompletedProjects[[#This Row],[Annual Emissions (MMTCO2)]]*40</f>
        <v>0</v>
      </c>
      <c r="Q1068" s="167"/>
      <c r="R1068" s="167" t="s">
        <v>400</v>
      </c>
      <c r="S1068" s="167" t="s">
        <v>465</v>
      </c>
      <c r="T1068" s="167"/>
    </row>
    <row r="1069" spans="1:20" customFormat="1" ht="28.7">
      <c r="A1069" s="167" t="s">
        <v>36</v>
      </c>
      <c r="B1069" s="182" t="s">
        <v>519</v>
      </c>
      <c r="C1069" s="182" t="s">
        <v>464</v>
      </c>
      <c r="D1069" s="172">
        <f>70500000*'Dev Bank Share by Country'!$K$177</f>
        <v>239700</v>
      </c>
      <c r="E1069" s="183" t="s">
        <v>1400</v>
      </c>
      <c r="F1069" s="183" t="s">
        <v>1399</v>
      </c>
      <c r="G1069" s="267" t="s">
        <v>1401</v>
      </c>
      <c r="H1069" s="183" t="s">
        <v>273</v>
      </c>
      <c r="I1069" s="180" t="s">
        <v>283</v>
      </c>
      <c r="J1069" s="183" t="s">
        <v>26</v>
      </c>
      <c r="K1069" s="242">
        <v>40813</v>
      </c>
      <c r="L1069" s="183" t="s">
        <v>1711</v>
      </c>
      <c r="M1069" s="267"/>
      <c r="N1069" s="338"/>
      <c r="O1069" s="461">
        <f>CompletedProjects[[#This Row],[Power Plant Size (MW) or Share]]*0.593*9057*211.9*10^(-9)</f>
        <v>0</v>
      </c>
      <c r="P1069" s="337">
        <f>CompletedProjects[[#This Row],[Annual Emissions (MMTCO2)]]*40</f>
        <v>0</v>
      </c>
      <c r="Q1069" s="169"/>
      <c r="R1069" s="185"/>
      <c r="S1069" s="181"/>
      <c r="T1069" s="185"/>
    </row>
    <row r="1070" spans="1:20" customFormat="1" ht="57.35">
      <c r="A1070" s="167" t="s">
        <v>36</v>
      </c>
      <c r="B1070" s="186" t="s">
        <v>519</v>
      </c>
      <c r="C1070" s="167" t="s">
        <v>464</v>
      </c>
      <c r="D1070" s="172">
        <f>200000000*'Dev Bank Share by Country'!$K$177</f>
        <v>680000</v>
      </c>
      <c r="E1070" s="173" t="s">
        <v>413</v>
      </c>
      <c r="F1070" s="173" t="s">
        <v>523</v>
      </c>
      <c r="G1070" s="262"/>
      <c r="H1070" s="173" t="s">
        <v>95</v>
      </c>
      <c r="I1070" s="180" t="s">
        <v>283</v>
      </c>
      <c r="J1070" s="173" t="s">
        <v>277</v>
      </c>
      <c r="K1070" s="241">
        <v>39554</v>
      </c>
      <c r="L1070" s="167" t="s">
        <v>1319</v>
      </c>
      <c r="M1070" s="262"/>
      <c r="N1070" s="256">
        <f>600/13/2</f>
        <v>23.076923076923077</v>
      </c>
      <c r="O1070" s="461">
        <f>CompletedProjects[[#This Row],[Power Plant Size (MW) or Share]]*0.593*9057*211.9*10^(-9)</f>
        <v>2.6263216890000003E-2</v>
      </c>
      <c r="P1070" s="337">
        <f>CompletedProjects[[#This Row],[Annual Emissions (MMTCO2)]]*40</f>
        <v>1.0505286756000001</v>
      </c>
      <c r="Q1070" s="203"/>
      <c r="R1070" s="167" t="s">
        <v>641</v>
      </c>
      <c r="S1070" s="167"/>
      <c r="T1070" s="167"/>
    </row>
    <row r="1071" spans="1:20" customFormat="1" ht="43">
      <c r="A1071" s="167" t="s">
        <v>36</v>
      </c>
      <c r="B1071" s="186" t="s">
        <v>519</v>
      </c>
      <c r="C1071" s="167" t="s">
        <v>464</v>
      </c>
      <c r="D1071" s="172">
        <f>27860000*'Dev Bank Share by Country'!$K$177</f>
        <v>94724</v>
      </c>
      <c r="E1071" s="173" t="s">
        <v>520</v>
      </c>
      <c r="F1071" s="173" t="s">
        <v>521</v>
      </c>
      <c r="G1071" s="262"/>
      <c r="H1071" s="173" t="s">
        <v>63</v>
      </c>
      <c r="I1071" s="180" t="s">
        <v>283</v>
      </c>
      <c r="J1071" s="173" t="s">
        <v>26</v>
      </c>
      <c r="K1071" s="241">
        <v>39357</v>
      </c>
      <c r="L1071" s="167" t="s">
        <v>1320</v>
      </c>
      <c r="M1071" s="262"/>
      <c r="N1071" s="256">
        <f>1080/13</f>
        <v>83.07692307692308</v>
      </c>
      <c r="O1071" s="461">
        <f>CompletedProjects[[#This Row],[Power Plant Size (MW) or Share]]*0.593*9057*211.9*10^(-9)</f>
        <v>9.4547580804000012E-2</v>
      </c>
      <c r="P1071" s="337">
        <f>CompletedProjects[[#This Row],[Annual Emissions (MMTCO2)]]*40</f>
        <v>3.7819032321600003</v>
      </c>
      <c r="Q1071" s="203"/>
      <c r="R1071" s="167" t="s">
        <v>522</v>
      </c>
      <c r="S1071" s="167"/>
      <c r="T1071" s="167"/>
    </row>
    <row r="1072" spans="1:20" customFormat="1" ht="114.7">
      <c r="A1072" s="167" t="s">
        <v>36</v>
      </c>
      <c r="B1072" s="171" t="s">
        <v>559</v>
      </c>
      <c r="C1072" s="171" t="s">
        <v>464</v>
      </c>
      <c r="D1072" s="172">
        <v>2326391.7909341156</v>
      </c>
      <c r="E1072" s="173" t="s">
        <v>560</v>
      </c>
      <c r="F1072" s="173" t="s">
        <v>561</v>
      </c>
      <c r="G1072" s="262" t="s">
        <v>790</v>
      </c>
      <c r="H1072" s="173" t="s">
        <v>56</v>
      </c>
      <c r="I1072" s="173" t="s">
        <v>284</v>
      </c>
      <c r="J1072" s="173" t="s">
        <v>79</v>
      </c>
      <c r="K1072" s="240">
        <v>42278</v>
      </c>
      <c r="L1072" s="173" t="s">
        <v>865</v>
      </c>
      <c r="M1072" s="262" t="s">
        <v>866</v>
      </c>
      <c r="N1072" s="337"/>
      <c r="O1072" s="461">
        <f>CompletedProjects[[#This Row],[Power Plant Size (MW) or Share]]*0.593*9057*211.9*10^(-9)</f>
        <v>0</v>
      </c>
      <c r="P1072" s="337">
        <f>CompletedProjects[[#This Row],[Annual Emissions (MMTCO2)]]*40</f>
        <v>0</v>
      </c>
      <c r="Q1072" s="176"/>
      <c r="R1072" s="178"/>
      <c r="S1072" s="167"/>
      <c r="T1072" s="178"/>
    </row>
    <row r="1073" spans="1:20" customFormat="1" ht="86">
      <c r="A1073" s="167" t="s">
        <v>36</v>
      </c>
      <c r="B1073" s="171" t="s">
        <v>511</v>
      </c>
      <c r="C1073" s="171" t="s">
        <v>464</v>
      </c>
      <c r="D1073" s="172">
        <f>8000000*'Dev Bank Share by Country'!$G$177</f>
        <v>49371.189150621169</v>
      </c>
      <c r="E1073" s="173" t="s">
        <v>405</v>
      </c>
      <c r="F1073" s="173" t="s">
        <v>406</v>
      </c>
      <c r="G1073" s="262" t="s">
        <v>786</v>
      </c>
      <c r="H1073" s="173" t="s">
        <v>65</v>
      </c>
      <c r="I1073" s="180" t="s">
        <v>283</v>
      </c>
      <c r="J1073" s="173" t="s">
        <v>26</v>
      </c>
      <c r="K1073" s="241">
        <v>39234</v>
      </c>
      <c r="L1073" s="173" t="s">
        <v>815</v>
      </c>
      <c r="M1073" s="262" t="s">
        <v>806</v>
      </c>
      <c r="N1073" s="256">
        <f>600/19</f>
        <v>31.578947368421051</v>
      </c>
      <c r="O1073" s="461">
        <f>CompletedProjects[[#This Row],[Power Plant Size (MW) or Share]]*0.593*9057*211.9*10^(-9)</f>
        <v>3.5939138902105268E-2</v>
      </c>
      <c r="P1073" s="337">
        <f>CompletedProjects[[#This Row],[Annual Emissions (MMTCO2)]]*40</f>
        <v>1.4375655560842107</v>
      </c>
      <c r="Q1073" s="167"/>
      <c r="R1073" s="167" t="s">
        <v>467</v>
      </c>
      <c r="S1073" s="167" t="s">
        <v>633</v>
      </c>
      <c r="T1073" s="167"/>
    </row>
    <row r="1074" spans="1:20" customFormat="1" ht="71.7">
      <c r="A1074" s="167" t="s">
        <v>36</v>
      </c>
      <c r="B1074" s="186" t="s">
        <v>519</v>
      </c>
      <c r="C1074" s="167" t="s">
        <v>464</v>
      </c>
      <c r="D1074" s="172">
        <f>902850000*'Dev Bank Share by Country'!$K$177</f>
        <v>3069690</v>
      </c>
      <c r="E1074" s="173" t="s">
        <v>91</v>
      </c>
      <c r="F1074" s="173" t="s">
        <v>536</v>
      </c>
      <c r="G1074" s="262"/>
      <c r="H1074" s="173" t="s">
        <v>63</v>
      </c>
      <c r="I1074" s="180" t="s">
        <v>283</v>
      </c>
      <c r="J1074" s="173" t="s">
        <v>26</v>
      </c>
      <c r="K1074" s="241">
        <v>40168</v>
      </c>
      <c r="L1074" s="173" t="s">
        <v>1323</v>
      </c>
      <c r="M1074" s="262"/>
      <c r="N1074" s="337"/>
      <c r="O1074" s="461">
        <f>CompletedProjects[[#This Row],[Power Plant Size (MW) or Share]]*0.593*9057*211.9*10^(-9)</f>
        <v>0</v>
      </c>
      <c r="P1074" s="337">
        <f>CompletedProjects[[#This Row],[Annual Emissions (MMTCO2)]]*40</f>
        <v>0</v>
      </c>
      <c r="Q1074" s="176"/>
      <c r="R1074" s="178" t="s">
        <v>537</v>
      </c>
      <c r="S1074" s="167"/>
      <c r="T1074" s="178"/>
    </row>
    <row r="1075" spans="1:20" customFormat="1" ht="114.7">
      <c r="A1075" s="167" t="s">
        <v>36</v>
      </c>
      <c r="B1075" s="171" t="s">
        <v>511</v>
      </c>
      <c r="C1075" s="171" t="s">
        <v>464</v>
      </c>
      <c r="D1075" s="172">
        <f>275000000*'Dev Bank Share by Country'!$G$177</f>
        <v>1697134.6270526028</v>
      </c>
      <c r="E1075" s="173" t="s">
        <v>413</v>
      </c>
      <c r="F1075" s="173" t="s">
        <v>413</v>
      </c>
      <c r="G1075" s="262" t="s">
        <v>766</v>
      </c>
      <c r="H1075" s="173" t="s">
        <v>95</v>
      </c>
      <c r="I1075" s="180" t="s">
        <v>283</v>
      </c>
      <c r="J1075" s="173" t="s">
        <v>277</v>
      </c>
      <c r="K1075" s="241">
        <v>39394</v>
      </c>
      <c r="L1075" s="173" t="s">
        <v>917</v>
      </c>
      <c r="M1075" s="262"/>
      <c r="N1075" s="256">
        <f>600/7/2</f>
        <v>42.857142857142854</v>
      </c>
      <c r="O1075" s="461">
        <f>CompletedProjects[[#This Row],[Power Plant Size (MW) or Share]]*0.593*9057*211.9*10^(-9)</f>
        <v>4.8774545652857132E-2</v>
      </c>
      <c r="P1075" s="337">
        <f>CompletedProjects[[#This Row],[Annual Emissions (MMTCO2)]]*40</f>
        <v>1.9509818261142853</v>
      </c>
      <c r="Q1075" s="167"/>
      <c r="R1075" s="167" t="s">
        <v>640</v>
      </c>
      <c r="S1075" s="167" t="s">
        <v>465</v>
      </c>
      <c r="T1075" s="167"/>
    </row>
    <row r="1076" spans="1:20" customFormat="1" ht="28.7">
      <c r="A1076" s="173" t="s">
        <v>36</v>
      </c>
      <c r="B1076" s="173" t="s">
        <v>509</v>
      </c>
      <c r="C1076" s="173" t="s">
        <v>464</v>
      </c>
      <c r="D1076" s="172">
        <v>443517.42929278687</v>
      </c>
      <c r="E1076" s="173" t="s">
        <v>429</v>
      </c>
      <c r="F1076" s="173" t="s">
        <v>430</v>
      </c>
      <c r="G1076" s="262" t="s">
        <v>928</v>
      </c>
      <c r="H1076" s="173" t="s">
        <v>431</v>
      </c>
      <c r="I1076" s="180" t="s">
        <v>283</v>
      </c>
      <c r="J1076" s="173" t="s">
        <v>26</v>
      </c>
      <c r="K1076" s="241">
        <v>40114</v>
      </c>
      <c r="L1076" s="173"/>
      <c r="M1076" s="262"/>
      <c r="N1076" s="337">
        <f>600/15/2</f>
        <v>20</v>
      </c>
      <c r="O1076" s="461">
        <f>CompletedProjects[[#This Row],[Power Plant Size (MW) or Share]]*0.593*9057*211.9*10^(-9)</f>
        <v>2.2761454637999997E-2</v>
      </c>
      <c r="P1076" s="337">
        <f>CompletedProjects[[#This Row],[Annual Emissions (MMTCO2)]]*40</f>
        <v>0.91045818551999991</v>
      </c>
      <c r="Q1076" s="176"/>
      <c r="R1076" s="178" t="s">
        <v>467</v>
      </c>
      <c r="S1076" s="167"/>
      <c r="T1076" s="178"/>
    </row>
    <row r="1077" spans="1:20" customFormat="1" ht="28.7">
      <c r="A1077" s="167" t="s">
        <v>36</v>
      </c>
      <c r="B1077" s="171" t="s">
        <v>509</v>
      </c>
      <c r="C1077" s="171" t="s">
        <v>464</v>
      </c>
      <c r="D1077" s="172">
        <v>8961560.5956273396</v>
      </c>
      <c r="E1077" s="173" t="s">
        <v>41</v>
      </c>
      <c r="F1077" s="173" t="s">
        <v>468</v>
      </c>
      <c r="G1077" s="262" t="s">
        <v>927</v>
      </c>
      <c r="H1077" s="173" t="s">
        <v>25</v>
      </c>
      <c r="I1077" s="180" t="s">
        <v>283</v>
      </c>
      <c r="J1077" s="173" t="s">
        <v>26</v>
      </c>
      <c r="K1077" s="241">
        <v>40142</v>
      </c>
      <c r="L1077" s="173"/>
      <c r="M1077" s="262"/>
      <c r="N1077" s="337">
        <f>4800/15/2</f>
        <v>160</v>
      </c>
      <c r="O1077" s="461">
        <f>CompletedProjects[[#This Row],[Power Plant Size (MW) or Share]]*0.593*9057*211.9*10^(-9)</f>
        <v>0.18209163710399998</v>
      </c>
      <c r="P1077" s="337">
        <f>CompletedProjects[[#This Row],[Annual Emissions (MMTCO2)]]*40</f>
        <v>7.2836654841599993</v>
      </c>
      <c r="Q1077" s="176"/>
      <c r="R1077" s="178" t="s">
        <v>642</v>
      </c>
      <c r="S1077" s="167"/>
      <c r="T1077" s="178"/>
    </row>
    <row r="1078" spans="1:20" customFormat="1" ht="43">
      <c r="A1078" s="167" t="s">
        <v>36</v>
      </c>
      <c r="B1078" s="171" t="s">
        <v>509</v>
      </c>
      <c r="C1078" s="171" t="s">
        <v>464</v>
      </c>
      <c r="D1078" s="172">
        <v>280863.2572637932</v>
      </c>
      <c r="E1078" s="173" t="s">
        <v>469</v>
      </c>
      <c r="F1078" s="173" t="s">
        <v>516</v>
      </c>
      <c r="G1078" s="262" t="s">
        <v>929</v>
      </c>
      <c r="H1078" s="173" t="s">
        <v>458</v>
      </c>
      <c r="I1078" s="180" t="s">
        <v>283</v>
      </c>
      <c r="J1078" s="173" t="s">
        <v>26</v>
      </c>
      <c r="K1078" s="241">
        <v>40142</v>
      </c>
      <c r="L1078" s="173"/>
      <c r="M1078" s="262"/>
      <c r="N1078" s="150">
        <f>125/15</f>
        <v>8.3333333333333339</v>
      </c>
      <c r="O1078" s="461">
        <f>CompletedProjects[[#This Row],[Power Plant Size (MW) or Share]]*0.593*9057*211.9*10^(-9)</f>
        <v>9.4839394324999996E-3</v>
      </c>
      <c r="P1078" s="337">
        <f>CompletedProjects[[#This Row],[Annual Emissions (MMTCO2)]]*40</f>
        <v>0.37935757729999997</v>
      </c>
      <c r="Q1078" s="203"/>
      <c r="R1078" s="167" t="s">
        <v>470</v>
      </c>
      <c r="S1078" s="167"/>
      <c r="T1078" s="167" t="s">
        <v>537</v>
      </c>
    </row>
    <row r="1079" spans="1:20" customFormat="1" ht="57.35">
      <c r="A1079" s="173" t="s">
        <v>36</v>
      </c>
      <c r="B1079" s="173" t="s">
        <v>519</v>
      </c>
      <c r="C1079" s="173" t="s">
        <v>464</v>
      </c>
      <c r="D1079" s="172">
        <f>450000000*'Dev Bank Share by Country'!$K$177</f>
        <v>1530000</v>
      </c>
      <c r="E1079" s="183" t="s">
        <v>1395</v>
      </c>
      <c r="F1079" s="183" t="s">
        <v>1393</v>
      </c>
      <c r="G1079" s="267" t="s">
        <v>1394</v>
      </c>
      <c r="H1079" s="173" t="s">
        <v>65</v>
      </c>
      <c r="I1079" s="180" t="s">
        <v>283</v>
      </c>
      <c r="J1079" s="173" t="s">
        <v>26</v>
      </c>
      <c r="K1079" s="241">
        <v>39563</v>
      </c>
      <c r="L1079" s="173" t="s">
        <v>525</v>
      </c>
      <c r="M1079" s="262" t="s">
        <v>821</v>
      </c>
      <c r="N1079" s="338">
        <f>4000/3/13</f>
        <v>102.56410256410255</v>
      </c>
      <c r="O1079" s="461">
        <f>CompletedProjects[[#This Row],[Power Plant Size (MW) or Share]]*0.593*9057*211.9*10^(-9)</f>
        <v>0.11672540839999998</v>
      </c>
      <c r="P1079" s="337">
        <f>CompletedProjects[[#This Row],[Annual Emissions (MMTCO2)]]*40</f>
        <v>4.6690163359999994</v>
      </c>
      <c r="Q1079" s="176"/>
      <c r="R1079" s="183" t="s">
        <v>1396</v>
      </c>
      <c r="S1079" s="167"/>
      <c r="T1079" s="183"/>
    </row>
    <row r="1080" spans="1:20" customFormat="1" ht="43">
      <c r="A1080" s="181" t="s">
        <v>36</v>
      </c>
      <c r="B1080" s="182" t="s">
        <v>559</v>
      </c>
      <c r="C1080" s="182" t="s">
        <v>464</v>
      </c>
      <c r="D1080" s="172">
        <v>339653.20147638087</v>
      </c>
      <c r="E1080" s="173" t="s">
        <v>588</v>
      </c>
      <c r="F1080" s="173" t="s">
        <v>588</v>
      </c>
      <c r="G1080" s="265" t="s">
        <v>793</v>
      </c>
      <c r="H1080" s="173" t="s">
        <v>201</v>
      </c>
      <c r="I1080" s="173" t="s">
        <v>40</v>
      </c>
      <c r="J1080" s="173" t="s">
        <v>40</v>
      </c>
      <c r="K1080" s="240">
        <v>39422</v>
      </c>
      <c r="L1080" s="167" t="s">
        <v>905</v>
      </c>
      <c r="M1080" s="262"/>
      <c r="N1080" s="337"/>
      <c r="O1080" s="461">
        <f>CompletedProjects[[#This Row],[Power Plant Size (MW) or Share]]*0.593*9057*211.9*10^(-9)</f>
        <v>0</v>
      </c>
      <c r="P1080" s="337">
        <f>CompletedProjects[[#This Row],[Annual Emissions (MMTCO2)]]*40</f>
        <v>0</v>
      </c>
      <c r="Q1080" s="176"/>
      <c r="R1080" s="178" t="s">
        <v>537</v>
      </c>
      <c r="S1080" s="167"/>
      <c r="T1080" s="178"/>
    </row>
    <row r="1081" spans="1:20" customFormat="1" ht="57.35">
      <c r="A1081" s="167" t="s">
        <v>36</v>
      </c>
      <c r="B1081" s="186" t="s">
        <v>519</v>
      </c>
      <c r="C1081" s="167" t="s">
        <v>464</v>
      </c>
      <c r="D1081" s="172"/>
      <c r="E1081" s="173" t="s">
        <v>526</v>
      </c>
      <c r="F1081" s="173" t="s">
        <v>527</v>
      </c>
      <c r="G1081" s="174" t="s">
        <v>901</v>
      </c>
      <c r="H1081" s="173" t="s">
        <v>95</v>
      </c>
      <c r="I1081" s="180" t="s">
        <v>283</v>
      </c>
      <c r="J1081" s="173" t="s">
        <v>277</v>
      </c>
      <c r="K1081" s="241">
        <v>39601</v>
      </c>
      <c r="L1081" s="172">
        <f>120000000*'Dev Bank Share by Country'!$K$177</f>
        <v>408000</v>
      </c>
      <c r="M1081" s="450"/>
      <c r="N1081" s="337"/>
      <c r="O1081" s="461">
        <f>CompletedProjects[[#This Row],[Power Plant Size (MW) or Share]]*0.593*9057*211.9*10^(-9)</f>
        <v>0</v>
      </c>
      <c r="P1081" s="337">
        <f>CompletedProjects[[#This Row],[Annual Emissions (MMTCO2)]]*40</f>
        <v>0</v>
      </c>
      <c r="Q1081" s="176"/>
      <c r="R1081" s="178" t="s">
        <v>1321</v>
      </c>
      <c r="S1081" s="167" t="s">
        <v>1688</v>
      </c>
      <c r="T1081" s="178"/>
    </row>
    <row r="1082" spans="1:20" customFormat="1" ht="172">
      <c r="A1082" s="167" t="s">
        <v>36</v>
      </c>
      <c r="B1082" s="167" t="s">
        <v>401</v>
      </c>
      <c r="C1082" s="182" t="s">
        <v>464</v>
      </c>
      <c r="D1082" s="172">
        <f>11250000*'Dev Bank Share by Country'!$E$177</f>
        <v>67905.220681869891</v>
      </c>
      <c r="E1082" s="173" t="s">
        <v>270</v>
      </c>
      <c r="F1082" s="173" t="s">
        <v>433</v>
      </c>
      <c r="G1082" s="262" t="s">
        <v>767</v>
      </c>
      <c r="H1082" s="173" t="s">
        <v>201</v>
      </c>
      <c r="I1082" s="173" t="s">
        <v>40</v>
      </c>
      <c r="J1082" s="173" t="s">
        <v>417</v>
      </c>
      <c r="K1082" s="241">
        <v>40673</v>
      </c>
      <c r="L1082" s="173" t="s">
        <v>828</v>
      </c>
      <c r="M1082" s="273" t="s">
        <v>827</v>
      </c>
      <c r="N1082" s="256"/>
      <c r="O1082" s="461">
        <f>CompletedProjects[[#This Row],[Power Plant Size (MW) or Share]]*0.593*9057*211.9*10^(-9)</f>
        <v>0</v>
      </c>
      <c r="P1082" s="337">
        <f>CompletedProjects[[#This Row],[Annual Emissions (MMTCO2)]]*40</f>
        <v>0</v>
      </c>
      <c r="Q1082" s="167"/>
      <c r="R1082" s="167" t="s">
        <v>400</v>
      </c>
      <c r="S1082" s="167" t="s">
        <v>465</v>
      </c>
      <c r="T1082" s="167"/>
    </row>
    <row r="1083" spans="1:20" customFormat="1" ht="71.7">
      <c r="A1083" s="181" t="s">
        <v>36</v>
      </c>
      <c r="B1083" s="182" t="s">
        <v>559</v>
      </c>
      <c r="C1083" s="182" t="s">
        <v>464</v>
      </c>
      <c r="D1083" s="172">
        <v>923179.37904582557</v>
      </c>
      <c r="E1083" s="173" t="s">
        <v>591</v>
      </c>
      <c r="F1083" s="173" t="s">
        <v>590</v>
      </c>
      <c r="G1083" s="265" t="s">
        <v>794</v>
      </c>
      <c r="H1083" s="173" t="s">
        <v>45</v>
      </c>
      <c r="I1083" s="180" t="s">
        <v>283</v>
      </c>
      <c r="J1083" s="173" t="s">
        <v>277</v>
      </c>
      <c r="K1083" s="240">
        <v>39553</v>
      </c>
      <c r="L1083" s="173" t="s">
        <v>906</v>
      </c>
      <c r="M1083" s="262"/>
      <c r="N1083" s="337"/>
      <c r="O1083" s="461">
        <f>CompletedProjects[[#This Row],[Power Plant Size (MW) or Share]]*0.593*9057*211.9*10^(-9)</f>
        <v>0</v>
      </c>
      <c r="P1083" s="337">
        <f>CompletedProjects[[#This Row],[Annual Emissions (MMTCO2)]]*40</f>
        <v>0</v>
      </c>
      <c r="Q1083" s="176"/>
      <c r="R1083" s="178"/>
      <c r="S1083" s="167"/>
      <c r="T1083" s="178"/>
    </row>
    <row r="1084" spans="1:20" customFormat="1" ht="43">
      <c r="A1084" s="181" t="s">
        <v>36</v>
      </c>
      <c r="B1084" s="182" t="s">
        <v>559</v>
      </c>
      <c r="C1084" s="182" t="s">
        <v>464</v>
      </c>
      <c r="D1084" s="172"/>
      <c r="E1084" s="173" t="s">
        <v>611</v>
      </c>
      <c r="F1084" s="173" t="s">
        <v>612</v>
      </c>
      <c r="G1084" s="262" t="s">
        <v>804</v>
      </c>
      <c r="H1084" s="173" t="s">
        <v>613</v>
      </c>
      <c r="I1084" s="180" t="s">
        <v>283</v>
      </c>
      <c r="J1084" s="173" t="s">
        <v>277</v>
      </c>
      <c r="K1084" s="240">
        <v>39814</v>
      </c>
      <c r="L1084" s="197"/>
      <c r="M1084" s="262"/>
      <c r="N1084" s="337"/>
      <c r="O1084" s="461">
        <f>CompletedProjects[[#This Row],[Power Plant Size (MW) or Share]]*0.593*9057*211.9*10^(-9)</f>
        <v>0</v>
      </c>
      <c r="P1084" s="337">
        <f>CompletedProjects[[#This Row],[Annual Emissions (MMTCO2)]]*40</f>
        <v>0</v>
      </c>
      <c r="Q1084" s="176"/>
      <c r="R1084" s="173" t="s">
        <v>914</v>
      </c>
      <c r="S1084" s="167" t="s">
        <v>1688</v>
      </c>
      <c r="T1084" s="173"/>
    </row>
    <row r="1085" spans="1:20" customFormat="1" ht="71.7">
      <c r="A1085" s="181" t="s">
        <v>36</v>
      </c>
      <c r="B1085" s="182" t="s">
        <v>559</v>
      </c>
      <c r="C1085" s="182" t="s">
        <v>464</v>
      </c>
      <c r="D1085" s="172">
        <v>628125.78355221124</v>
      </c>
      <c r="E1085" s="173" t="s">
        <v>604</v>
      </c>
      <c r="F1085" s="173" t="s">
        <v>605</v>
      </c>
      <c r="G1085" s="262" t="s">
        <v>802</v>
      </c>
      <c r="H1085" s="173" t="s">
        <v>493</v>
      </c>
      <c r="I1085" s="180" t="s">
        <v>283</v>
      </c>
      <c r="J1085" s="173" t="s">
        <v>277</v>
      </c>
      <c r="K1085" s="240">
        <v>40589</v>
      </c>
      <c r="L1085" s="173" t="s">
        <v>1693</v>
      </c>
      <c r="M1085" s="262"/>
      <c r="N1085" s="337">
        <f>154/12</f>
        <v>12.833333333333334</v>
      </c>
      <c r="O1085" s="461">
        <f>CompletedProjects[[#This Row],[Power Plant Size (MW) or Share]]*0.593*9057*211.9*10^(-9)</f>
        <v>1.460526672605E-2</v>
      </c>
      <c r="P1085" s="337">
        <f>CompletedProjects[[#This Row],[Annual Emissions (MMTCO2)]]*40</f>
        <v>0.58421066904200003</v>
      </c>
      <c r="Q1085" s="176"/>
      <c r="R1085" s="178" t="s">
        <v>537</v>
      </c>
      <c r="S1085" s="167"/>
      <c r="T1085" s="178"/>
    </row>
    <row r="1086" spans="1:20" customFormat="1" ht="43">
      <c r="A1086" s="181" t="s">
        <v>36</v>
      </c>
      <c r="B1086" s="182" t="s">
        <v>559</v>
      </c>
      <c r="C1086" s="182" t="s">
        <v>464</v>
      </c>
      <c r="D1086" s="172">
        <v>399394.94266756898</v>
      </c>
      <c r="E1086" s="173" t="s">
        <v>587</v>
      </c>
      <c r="F1086" s="173" t="s">
        <v>587</v>
      </c>
      <c r="G1086" s="262" t="s">
        <v>792</v>
      </c>
      <c r="H1086" s="173" t="s">
        <v>39</v>
      </c>
      <c r="I1086" s="180" t="s">
        <v>283</v>
      </c>
      <c r="J1086" s="173" t="s">
        <v>277</v>
      </c>
      <c r="K1086" s="240">
        <v>39415</v>
      </c>
      <c r="L1086" s="167" t="s">
        <v>904</v>
      </c>
      <c r="M1086" s="262"/>
      <c r="N1086" s="338">
        <f>550/12</f>
        <v>45.833333333333336</v>
      </c>
      <c r="O1086" s="461">
        <f>CompletedProjects[[#This Row],[Power Plant Size (MW) or Share]]*0.593*9057*211.9*10^(-9)</f>
        <v>5.2161666878750006E-2</v>
      </c>
      <c r="P1086" s="337">
        <f>CompletedProjects[[#This Row],[Annual Emissions (MMTCO2)]]*40</f>
        <v>2.0864666751500001</v>
      </c>
      <c r="Q1086" s="169"/>
      <c r="R1086" s="178" t="s">
        <v>537</v>
      </c>
      <c r="S1086" s="181"/>
      <c r="T1086" s="178"/>
    </row>
    <row r="1087" spans="1:20" customFormat="1" ht="43">
      <c r="A1087" s="181" t="s">
        <v>36</v>
      </c>
      <c r="B1087" s="182" t="s">
        <v>559</v>
      </c>
      <c r="C1087" s="182" t="s">
        <v>464</v>
      </c>
      <c r="D1087" s="172">
        <v>1500522.7051525046</v>
      </c>
      <c r="E1087" s="173" t="s">
        <v>600</v>
      </c>
      <c r="F1087" s="173" t="s">
        <v>601</v>
      </c>
      <c r="G1087" s="262" t="s">
        <v>800</v>
      </c>
      <c r="H1087" s="173" t="s">
        <v>481</v>
      </c>
      <c r="I1087" s="180" t="s">
        <v>283</v>
      </c>
      <c r="J1087" s="173" t="s">
        <v>277</v>
      </c>
      <c r="K1087" s="240">
        <v>40544</v>
      </c>
      <c r="L1087" s="173" t="s">
        <v>909</v>
      </c>
      <c r="M1087" s="267"/>
      <c r="N1087" s="338">
        <f>600/12</f>
        <v>50</v>
      </c>
      <c r="O1087" s="461">
        <f>CompletedProjects[[#This Row],[Power Plant Size (MW) or Share]]*0.593*9057*211.9*10^(-9)</f>
        <v>5.6903636595000001E-2</v>
      </c>
      <c r="P1087" s="337">
        <f>CompletedProjects[[#This Row],[Annual Emissions (MMTCO2)]]*40</f>
        <v>2.2761454637999998</v>
      </c>
      <c r="Q1087" s="169"/>
      <c r="R1087" s="185"/>
      <c r="S1087" s="181"/>
      <c r="T1087" s="185"/>
    </row>
    <row r="1088" spans="1:20" customFormat="1" ht="143.35">
      <c r="A1088" s="181" t="s">
        <v>36</v>
      </c>
      <c r="B1088" s="182" t="s">
        <v>445</v>
      </c>
      <c r="C1088" s="182" t="s">
        <v>464</v>
      </c>
      <c r="D1088" s="172">
        <f>450000000*'Dev Bank Share by Country'!$G$177</f>
        <v>2777129.3897224409</v>
      </c>
      <c r="E1088" s="183" t="s">
        <v>1395</v>
      </c>
      <c r="F1088" s="183" t="s">
        <v>1393</v>
      </c>
      <c r="G1088" s="267" t="s">
        <v>1394</v>
      </c>
      <c r="H1088" s="183" t="s">
        <v>65</v>
      </c>
      <c r="I1088" s="180" t="s">
        <v>283</v>
      </c>
      <c r="J1088" s="183" t="s">
        <v>26</v>
      </c>
      <c r="K1088" s="242">
        <v>39562</v>
      </c>
      <c r="L1088" s="173" t="s">
        <v>919</v>
      </c>
      <c r="M1088" s="262" t="s">
        <v>768</v>
      </c>
      <c r="N1088" s="338">
        <f>4000/3/20</f>
        <v>66.666666666666657</v>
      </c>
      <c r="O1088" s="461">
        <f>CompletedProjects[[#This Row],[Power Plant Size (MW) or Share]]*0.593*9057*211.9*10^(-9)</f>
        <v>7.5871515459999983E-2</v>
      </c>
      <c r="P1088" s="337">
        <f>CompletedProjects[[#This Row],[Annual Emissions (MMTCO2)]]*40</f>
        <v>3.0348606183999993</v>
      </c>
      <c r="Q1088" s="169"/>
      <c r="R1088" s="183" t="s">
        <v>1396</v>
      </c>
      <c r="S1088" s="181"/>
      <c r="T1088" s="183"/>
    </row>
    <row r="1089" spans="1:20" customFormat="1" ht="114.7">
      <c r="A1089" s="167" t="s">
        <v>36</v>
      </c>
      <c r="B1089" s="167" t="s">
        <v>401</v>
      </c>
      <c r="C1089" s="171" t="s">
        <v>464</v>
      </c>
      <c r="D1089" s="172">
        <f>280000*'Dev Bank Share by Country'!$E$177</f>
        <v>1690.0854925265394</v>
      </c>
      <c r="E1089" s="173" t="s">
        <v>437</v>
      </c>
      <c r="F1089" s="173" t="s">
        <v>438</v>
      </c>
      <c r="G1089" s="262" t="s">
        <v>790</v>
      </c>
      <c r="H1089" s="173" t="s">
        <v>439</v>
      </c>
      <c r="I1089" s="173" t="s">
        <v>284</v>
      </c>
      <c r="J1089" s="173" t="s">
        <v>1498</v>
      </c>
      <c r="K1089" s="241">
        <v>41039</v>
      </c>
      <c r="L1089" s="173" t="s">
        <v>897</v>
      </c>
      <c r="M1089" s="273" t="s">
        <v>780</v>
      </c>
      <c r="N1089" s="256"/>
      <c r="O1089" s="461">
        <f>CompletedProjects[[#This Row],[Power Plant Size (MW) or Share]]*0.593*9057*211.9*10^(-9)</f>
        <v>0</v>
      </c>
      <c r="P1089" s="337">
        <f>CompletedProjects[[#This Row],[Annual Emissions (MMTCO2)]]*40</f>
        <v>0</v>
      </c>
      <c r="Q1089" s="167"/>
      <c r="R1089" s="167" t="s">
        <v>400</v>
      </c>
      <c r="S1089" s="167" t="s">
        <v>465</v>
      </c>
      <c r="T1089" s="167"/>
    </row>
    <row r="1090" spans="1:20" customFormat="1" ht="86">
      <c r="A1090" s="167" t="s">
        <v>36</v>
      </c>
      <c r="B1090" s="186" t="s">
        <v>519</v>
      </c>
      <c r="C1090" s="167" t="s">
        <v>464</v>
      </c>
      <c r="D1090" s="172">
        <f>200000*'Dev Bank Share by Country'!$K$177</f>
        <v>680</v>
      </c>
      <c r="E1090" s="173" t="s">
        <v>528</v>
      </c>
      <c r="F1090" s="173" t="s">
        <v>529</v>
      </c>
      <c r="G1090" s="262"/>
      <c r="H1090" s="173" t="s">
        <v>239</v>
      </c>
      <c r="I1090" s="180" t="s">
        <v>283</v>
      </c>
      <c r="J1090" s="173" t="s">
        <v>26</v>
      </c>
      <c r="K1090" s="241">
        <v>39729</v>
      </c>
      <c r="L1090" s="183" t="s">
        <v>1709</v>
      </c>
      <c r="M1090" s="262"/>
      <c r="N1090" s="337"/>
      <c r="O1090" s="461">
        <f>CompletedProjects[[#This Row],[Power Plant Size (MW) or Share]]*0.593*9057*211.9*10^(-9)</f>
        <v>0</v>
      </c>
      <c r="P1090" s="337">
        <f>CompletedProjects[[#This Row],[Annual Emissions (MMTCO2)]]*40</f>
        <v>0</v>
      </c>
      <c r="Q1090" s="176"/>
      <c r="R1090" s="178" t="s">
        <v>530</v>
      </c>
      <c r="S1090" s="167"/>
      <c r="T1090" s="178"/>
    </row>
    <row r="1091" spans="1:20" customFormat="1" ht="57.35">
      <c r="A1091" s="167" t="s">
        <v>36</v>
      </c>
      <c r="B1091" s="171" t="s">
        <v>511</v>
      </c>
      <c r="C1091" s="171" t="s">
        <v>464</v>
      </c>
      <c r="D1091" s="172">
        <f>18000000*'Dev Bank Share by Country'!$G$177</f>
        <v>111085.17558889763</v>
      </c>
      <c r="E1091" s="173" t="s">
        <v>407</v>
      </c>
      <c r="F1091" s="173" t="s">
        <v>407</v>
      </c>
      <c r="G1091" s="262" t="s">
        <v>776</v>
      </c>
      <c r="H1091" s="173" t="s">
        <v>408</v>
      </c>
      <c r="I1091" s="180" t="s">
        <v>283</v>
      </c>
      <c r="J1091" s="173" t="s">
        <v>409</v>
      </c>
      <c r="K1091" s="241">
        <v>39254</v>
      </c>
      <c r="L1091" s="173" t="s">
        <v>816</v>
      </c>
      <c r="M1091" s="262"/>
      <c r="N1091" s="256">
        <f>60/19</f>
        <v>3.1578947368421053</v>
      </c>
      <c r="O1091" s="461">
        <f>CompletedProjects[[#This Row],[Power Plant Size (MW) or Share]]*0.593*9057*211.9*10^(-9)</f>
        <v>3.5939138902105262E-3</v>
      </c>
      <c r="P1091" s="337">
        <f>CompletedProjects[[#This Row],[Annual Emissions (MMTCO2)]]*40</f>
        <v>0.14375655560842104</v>
      </c>
      <c r="Q1091" s="167"/>
      <c r="R1091" s="167" t="s">
        <v>636</v>
      </c>
      <c r="S1091" s="167" t="s">
        <v>633</v>
      </c>
      <c r="T1091" s="167"/>
    </row>
    <row r="1092" spans="1:20" customFormat="1" ht="86">
      <c r="A1092" s="167" t="s">
        <v>36</v>
      </c>
      <c r="B1092" s="167" t="s">
        <v>401</v>
      </c>
      <c r="C1092" s="182" t="s">
        <v>464</v>
      </c>
      <c r="D1092" s="172">
        <f>7500000*'Dev Bank Share by Country'!$E$177</f>
        <v>45270.147121246591</v>
      </c>
      <c r="E1092" s="173" t="s">
        <v>456</v>
      </c>
      <c r="F1092" s="173" t="s">
        <v>457</v>
      </c>
      <c r="G1092" s="262" t="s">
        <v>794</v>
      </c>
      <c r="H1092" s="173" t="s">
        <v>458</v>
      </c>
      <c r="I1092" s="180" t="s">
        <v>283</v>
      </c>
      <c r="J1092" s="173" t="s">
        <v>26</v>
      </c>
      <c r="K1092" s="241">
        <v>41627</v>
      </c>
      <c r="L1092" s="173" t="s">
        <v>899</v>
      </c>
      <c r="M1092" s="262"/>
      <c r="N1092" s="256">
        <f>125/19</f>
        <v>6.5789473684210522</v>
      </c>
      <c r="O1092" s="461">
        <f>CompletedProjects[[#This Row],[Power Plant Size (MW) or Share]]*0.593*9057*211.9*10^(-9)</f>
        <v>7.487320604605263E-3</v>
      </c>
      <c r="P1092" s="337">
        <f>CompletedProjects[[#This Row],[Annual Emissions (MMTCO2)]]*40</f>
        <v>0.29949282418421053</v>
      </c>
      <c r="Q1092" s="167"/>
      <c r="R1092" s="167" t="s">
        <v>637</v>
      </c>
      <c r="S1092" s="167" t="s">
        <v>633</v>
      </c>
      <c r="T1092" s="167" t="s">
        <v>537</v>
      </c>
    </row>
    <row r="1093" spans="1:20" customFormat="1" ht="100.35">
      <c r="A1093" s="167" t="s">
        <v>36</v>
      </c>
      <c r="B1093" s="171" t="s">
        <v>511</v>
      </c>
      <c r="C1093" s="171" t="s">
        <v>464</v>
      </c>
      <c r="D1093" s="172">
        <f>146970000*'Dev Bank Share by Country'!$G$177</f>
        <v>907010.45868334919</v>
      </c>
      <c r="E1093" s="173" t="s">
        <v>459</v>
      </c>
      <c r="F1093" s="173" t="s">
        <v>460</v>
      </c>
      <c r="G1093" s="262" t="s">
        <v>784</v>
      </c>
      <c r="H1093" s="173" t="s">
        <v>239</v>
      </c>
      <c r="I1093" s="180" t="s">
        <v>283</v>
      </c>
      <c r="J1093" s="173" t="s">
        <v>26</v>
      </c>
      <c r="K1093" s="241">
        <v>41701</v>
      </c>
      <c r="L1093" s="173" t="s">
        <v>900</v>
      </c>
      <c r="M1093" s="262"/>
      <c r="N1093" s="256"/>
      <c r="O1093" s="461">
        <f>CompletedProjects[[#This Row],[Power Plant Size (MW) or Share]]*0.593*9057*211.9*10^(-9)</f>
        <v>0</v>
      </c>
      <c r="P1093" s="337">
        <f>CompletedProjects[[#This Row],[Annual Emissions (MMTCO2)]]*40</f>
        <v>0</v>
      </c>
      <c r="Q1093" s="167"/>
      <c r="R1093" s="167" t="s">
        <v>400</v>
      </c>
      <c r="S1093" s="167" t="s">
        <v>465</v>
      </c>
      <c r="T1093" s="167"/>
    </row>
    <row r="1094" spans="1:20" customFormat="1" ht="28.7">
      <c r="A1094" s="183" t="s">
        <v>36</v>
      </c>
      <c r="B1094" s="183" t="s">
        <v>519</v>
      </c>
      <c r="C1094" s="183" t="s">
        <v>464</v>
      </c>
      <c r="D1094" s="172">
        <f>120000000*'Dev Bank Share by Country'!$K$177</f>
        <v>408000</v>
      </c>
      <c r="E1094" s="173" t="s">
        <v>533</v>
      </c>
      <c r="F1094" s="173" t="s">
        <v>534</v>
      </c>
      <c r="G1094" s="262"/>
      <c r="H1094" s="173" t="s">
        <v>95</v>
      </c>
      <c r="I1094" s="180" t="s">
        <v>283</v>
      </c>
      <c r="J1094" s="173" t="s">
        <v>277</v>
      </c>
      <c r="K1094" s="241">
        <v>40158</v>
      </c>
      <c r="L1094" s="173" t="s">
        <v>535</v>
      </c>
      <c r="M1094" s="262"/>
      <c r="N1094" s="337">
        <f>200/13</f>
        <v>15.384615384615385</v>
      </c>
      <c r="O1094" s="461">
        <f>CompletedProjects[[#This Row],[Power Plant Size (MW) or Share]]*0.593*9057*211.9*10^(-9)</f>
        <v>1.750881126E-2</v>
      </c>
      <c r="P1094" s="337">
        <f>CompletedProjects[[#This Row],[Annual Emissions (MMTCO2)]]*40</f>
        <v>0.70035245040000005</v>
      </c>
      <c r="Q1094" s="176"/>
      <c r="R1094" s="178"/>
      <c r="S1094" s="167"/>
      <c r="T1094" s="178"/>
    </row>
    <row r="1095" spans="1:20" customFormat="1" ht="129">
      <c r="A1095" s="167" t="s">
        <v>36</v>
      </c>
      <c r="B1095" s="171" t="s">
        <v>509</v>
      </c>
      <c r="C1095" s="171" t="s">
        <v>464</v>
      </c>
      <c r="D1095" s="172">
        <v>676371.4804666905</v>
      </c>
      <c r="E1095" s="173" t="s">
        <v>556</v>
      </c>
      <c r="F1095" s="173" t="s">
        <v>555</v>
      </c>
      <c r="G1095" s="262"/>
      <c r="H1095" s="173" t="s">
        <v>554</v>
      </c>
      <c r="I1095" s="180" t="s">
        <v>283</v>
      </c>
      <c r="J1095" s="173" t="s">
        <v>26</v>
      </c>
      <c r="K1095" s="240">
        <v>42064</v>
      </c>
      <c r="L1095" s="173" t="s">
        <v>857</v>
      </c>
      <c r="M1095" s="262" t="s">
        <v>858</v>
      </c>
      <c r="N1095" s="337"/>
      <c r="O1095" s="461">
        <f>CompletedProjects[[#This Row],[Power Plant Size (MW) or Share]]*0.593*9057*211.9*10^(-9)</f>
        <v>0</v>
      </c>
      <c r="P1095" s="337">
        <f>CompletedProjects[[#This Row],[Annual Emissions (MMTCO2)]]*40</f>
        <v>0</v>
      </c>
      <c r="Q1095" s="176"/>
      <c r="R1095" s="178" t="s">
        <v>537</v>
      </c>
      <c r="S1095" s="167"/>
      <c r="T1095" s="178"/>
    </row>
    <row r="1096" spans="1:20" customFormat="1" ht="43">
      <c r="A1096" s="181" t="s">
        <v>36</v>
      </c>
      <c r="B1096" s="182" t="s">
        <v>559</v>
      </c>
      <c r="C1096" s="182" t="s">
        <v>464</v>
      </c>
      <c r="D1096" s="172">
        <v>956356.40133510565</v>
      </c>
      <c r="E1096" s="173" t="s">
        <v>595</v>
      </c>
      <c r="F1096" s="173" t="s">
        <v>594</v>
      </c>
      <c r="G1096" s="262" t="s">
        <v>796</v>
      </c>
      <c r="H1096" s="173" t="s">
        <v>45</v>
      </c>
      <c r="I1096" s="180" t="s">
        <v>283</v>
      </c>
      <c r="J1096" s="173" t="s">
        <v>277</v>
      </c>
      <c r="K1096" s="240">
        <v>40032</v>
      </c>
      <c r="L1096" s="173"/>
      <c r="M1096" s="262"/>
      <c r="N1096" s="338">
        <f>185/12</f>
        <v>15.416666666666666</v>
      </c>
      <c r="O1096" s="461">
        <f>CompletedProjects[[#This Row],[Power Plant Size (MW) or Share]]*0.593*9057*211.9*10^(-9)</f>
        <v>1.7545287950124999E-2</v>
      </c>
      <c r="P1096" s="337">
        <f>CompletedProjects[[#This Row],[Annual Emissions (MMTCO2)]]*40</f>
        <v>0.70181151800499997</v>
      </c>
      <c r="Q1096" s="169"/>
      <c r="R1096" s="185"/>
      <c r="S1096" s="181"/>
      <c r="T1096" s="185"/>
    </row>
    <row r="1097" spans="1:20" customFormat="1" ht="215">
      <c r="A1097" s="181" t="s">
        <v>36</v>
      </c>
      <c r="B1097" s="182" t="s">
        <v>509</v>
      </c>
      <c r="C1097" s="182" t="s">
        <v>464</v>
      </c>
      <c r="D1097" s="172">
        <v>3804589.577625134</v>
      </c>
      <c r="E1097" s="173" t="s">
        <v>41</v>
      </c>
      <c r="F1097" s="173" t="s">
        <v>553</v>
      </c>
      <c r="G1097" s="262" t="s">
        <v>788</v>
      </c>
      <c r="H1097" s="173" t="s">
        <v>25</v>
      </c>
      <c r="I1097" s="173" t="s">
        <v>284</v>
      </c>
      <c r="J1097" s="173" t="s">
        <v>79</v>
      </c>
      <c r="K1097" s="240">
        <v>42359</v>
      </c>
      <c r="L1097" s="173" t="s">
        <v>1326</v>
      </c>
      <c r="M1097" s="262" t="s">
        <v>861</v>
      </c>
      <c r="N1097" s="337"/>
      <c r="O1097" s="461">
        <f>CompletedProjects[[#This Row],[Power Plant Size (MW) or Share]]*0.593*9057*211.9*10^(-9)</f>
        <v>0</v>
      </c>
      <c r="P1097" s="337">
        <f>CompletedProjects[[#This Row],[Annual Emissions (MMTCO2)]]*40</f>
        <v>0</v>
      </c>
      <c r="Q1097" s="176"/>
      <c r="R1097" s="178"/>
      <c r="S1097" s="167"/>
      <c r="T1097" s="178"/>
    </row>
    <row r="1098" spans="1:20" customFormat="1" ht="43">
      <c r="A1098" s="167" t="s">
        <v>36</v>
      </c>
      <c r="B1098" s="171" t="s">
        <v>559</v>
      </c>
      <c r="C1098" s="171" t="s">
        <v>464</v>
      </c>
      <c r="D1098" s="172">
        <v>392578.61472013203</v>
      </c>
      <c r="E1098" s="173" t="s">
        <v>608</v>
      </c>
      <c r="F1098" s="173" t="s">
        <v>609</v>
      </c>
      <c r="G1098" s="262" t="s">
        <v>803</v>
      </c>
      <c r="H1098" s="173" t="s">
        <v>368</v>
      </c>
      <c r="I1098" s="180" t="s">
        <v>284</v>
      </c>
      <c r="J1098" s="180" t="s">
        <v>284</v>
      </c>
      <c r="K1098" s="240">
        <v>40869</v>
      </c>
      <c r="L1098" s="173" t="s">
        <v>1694</v>
      </c>
      <c r="M1098" s="262"/>
      <c r="N1098" s="337"/>
      <c r="O1098" s="461">
        <f>CompletedProjects[[#This Row],[Power Plant Size (MW) or Share]]*0.593*9057*211.9*10^(-9)</f>
        <v>0</v>
      </c>
      <c r="P1098" s="337">
        <f>CompletedProjects[[#This Row],[Annual Emissions (MMTCO2)]]*40</f>
        <v>0</v>
      </c>
      <c r="Q1098" s="176"/>
      <c r="R1098" s="178"/>
      <c r="S1098" s="167"/>
      <c r="T1098" s="178"/>
    </row>
    <row r="1099" spans="1:20" customFormat="1" ht="43">
      <c r="A1099" s="173" t="s">
        <v>36</v>
      </c>
      <c r="B1099" s="173" t="s">
        <v>519</v>
      </c>
      <c r="C1099" s="173" t="s">
        <v>464</v>
      </c>
      <c r="D1099" s="172">
        <f>135000000*'Dev Bank Share by Country'!$K$177</f>
        <v>459000</v>
      </c>
      <c r="E1099" s="173" t="s">
        <v>531</v>
      </c>
      <c r="F1099" s="173" t="s">
        <v>538</v>
      </c>
      <c r="G1099" s="262"/>
      <c r="H1099" s="173" t="s">
        <v>239</v>
      </c>
      <c r="I1099" s="180" t="s">
        <v>283</v>
      </c>
      <c r="J1099" s="173" t="s">
        <v>26</v>
      </c>
      <c r="K1099" s="241">
        <v>40217</v>
      </c>
      <c r="L1099" s="173" t="s">
        <v>539</v>
      </c>
      <c r="M1099" s="262"/>
      <c r="N1099" s="337">
        <f>250/13</f>
        <v>19.23076923076923</v>
      </c>
      <c r="O1099" s="461">
        <f>CompletedProjects[[#This Row],[Power Plant Size (MW) or Share]]*0.593*9057*211.9*10^(-9)</f>
        <v>2.1886014075000002E-2</v>
      </c>
      <c r="P1099" s="337">
        <f>CompletedProjects[[#This Row],[Annual Emissions (MMTCO2)]]*40</f>
        <v>0.87544056300000006</v>
      </c>
      <c r="Q1099" s="176"/>
      <c r="R1099" s="178" t="s">
        <v>540</v>
      </c>
      <c r="S1099" s="167"/>
      <c r="T1099" s="178"/>
    </row>
    <row r="1100" spans="1:20" customFormat="1" ht="57.35">
      <c r="A1100" s="167" t="s">
        <v>36</v>
      </c>
      <c r="B1100" s="182" t="s">
        <v>559</v>
      </c>
      <c r="C1100" s="182" t="s">
        <v>464</v>
      </c>
      <c r="D1100" s="172">
        <v>330347.63431264443</v>
      </c>
      <c r="E1100" s="173" t="s">
        <v>596</v>
      </c>
      <c r="F1100" s="173" t="s">
        <v>597</v>
      </c>
      <c r="G1100" s="262" t="s">
        <v>797</v>
      </c>
      <c r="H1100" s="173" t="s">
        <v>493</v>
      </c>
      <c r="I1100" s="180" t="s">
        <v>283</v>
      </c>
      <c r="J1100" s="173" t="s">
        <v>277</v>
      </c>
      <c r="K1100" s="240">
        <v>40052</v>
      </c>
      <c r="L1100" s="269" t="s">
        <v>1690</v>
      </c>
      <c r="M1100" s="262" t="s">
        <v>903</v>
      </c>
      <c r="N1100" s="337"/>
      <c r="O1100" s="461">
        <f>CompletedProjects[[#This Row],[Power Plant Size (MW) or Share]]*0.593*9057*211.9*10^(-9)</f>
        <v>0</v>
      </c>
      <c r="P1100" s="337">
        <f>CompletedProjects[[#This Row],[Annual Emissions (MMTCO2)]]*40</f>
        <v>0</v>
      </c>
      <c r="Q1100" s="176"/>
      <c r="R1100" s="178"/>
      <c r="S1100" s="167"/>
      <c r="T1100" s="178"/>
    </row>
    <row r="1101" spans="1:20" customFormat="1" ht="172">
      <c r="A1101" s="167" t="s">
        <v>36</v>
      </c>
      <c r="B1101" s="167" t="s">
        <v>513</v>
      </c>
      <c r="C1101" s="167" t="s">
        <v>464</v>
      </c>
      <c r="D1101" s="172">
        <f>57000000*'Dev Bank Share by Country'!$C$177</f>
        <v>701100</v>
      </c>
      <c r="E1101" s="173" t="s">
        <v>415</v>
      </c>
      <c r="F1101" s="173" t="s">
        <v>416</v>
      </c>
      <c r="G1101" s="262" t="s">
        <v>772</v>
      </c>
      <c r="H1101" s="173" t="s">
        <v>368</v>
      </c>
      <c r="I1101" s="173" t="s">
        <v>40</v>
      </c>
      <c r="J1101" s="173" t="s">
        <v>417</v>
      </c>
      <c r="K1101" s="241">
        <v>39436</v>
      </c>
      <c r="L1101" s="173" t="s">
        <v>918</v>
      </c>
      <c r="M1101" s="273" t="s">
        <v>895</v>
      </c>
      <c r="N1101" s="256"/>
      <c r="O1101" s="461">
        <f>CompletedProjects[[#This Row],[Power Plant Size (MW) or Share]]*0.593*9057*211.9*10^(-9)</f>
        <v>0</v>
      </c>
      <c r="P1101" s="337">
        <f>CompletedProjects[[#This Row],[Annual Emissions (MMTCO2)]]*40</f>
        <v>0</v>
      </c>
      <c r="Q1101" s="167"/>
      <c r="R1101" s="167" t="s">
        <v>400</v>
      </c>
      <c r="S1101" s="167" t="s">
        <v>633</v>
      </c>
      <c r="T1101" s="167"/>
    </row>
    <row r="1102" spans="1:20" customFormat="1" ht="172">
      <c r="A1102" s="167" t="s">
        <v>190</v>
      </c>
      <c r="B1102" s="167" t="s">
        <v>511</v>
      </c>
      <c r="C1102" s="167" t="s">
        <v>464</v>
      </c>
      <c r="D1102" s="172">
        <f>500000000*'Dev Bank Share by Country'!$G$183</f>
        <v>23578701.991627287</v>
      </c>
      <c r="E1102" s="173" t="s">
        <v>454</v>
      </c>
      <c r="F1102" s="173" t="s">
        <v>514</v>
      </c>
      <c r="G1102" s="262" t="s">
        <v>783</v>
      </c>
      <c r="H1102" s="183" t="s">
        <v>515</v>
      </c>
      <c r="I1102" s="180" t="s">
        <v>283</v>
      </c>
      <c r="J1102" s="173" t="s">
        <v>26</v>
      </c>
      <c r="K1102" s="241">
        <v>41760</v>
      </c>
      <c r="L1102" s="173" t="s">
        <v>833</v>
      </c>
      <c r="M1102" s="262"/>
      <c r="N1102" s="256">
        <f>(270+450)/19</f>
        <v>37.89473684210526</v>
      </c>
      <c r="O1102" s="461">
        <f>CompletedProjects[[#This Row],[Power Plant Size (MW) or Share]]*0.593*9057*211.9*10^(-9)</f>
        <v>4.3126966682526316E-2</v>
      </c>
      <c r="P1102" s="337">
        <f>CompletedProjects[[#This Row],[Annual Emissions (MMTCO2)]]*40</f>
        <v>1.7250786673010525</v>
      </c>
      <c r="Q1102" s="167"/>
      <c r="R1102" s="167" t="s">
        <v>639</v>
      </c>
      <c r="S1102" s="167" t="s">
        <v>465</v>
      </c>
      <c r="T1102" s="167"/>
    </row>
    <row r="1103" spans="1:20" customFormat="1" ht="172">
      <c r="A1103" s="167" t="s">
        <v>190</v>
      </c>
      <c r="B1103" s="167" t="s">
        <v>401</v>
      </c>
      <c r="C1103" s="167" t="s">
        <v>464</v>
      </c>
      <c r="D1103" s="172">
        <f>1120000*'Dev Bank Share by Country'!$E$183</f>
        <v>67807.953620851855</v>
      </c>
      <c r="E1103" s="173" t="s">
        <v>402</v>
      </c>
      <c r="F1103" s="173" t="s">
        <v>403</v>
      </c>
      <c r="G1103" s="262" t="s">
        <v>785</v>
      </c>
      <c r="H1103" s="173" t="s">
        <v>404</v>
      </c>
      <c r="I1103" s="173" t="s">
        <v>284</v>
      </c>
      <c r="J1103" s="173" t="s">
        <v>1498</v>
      </c>
      <c r="K1103" s="241">
        <v>39224</v>
      </c>
      <c r="L1103" s="173" t="s">
        <v>826</v>
      </c>
      <c r="M1103" s="262" t="s">
        <v>785</v>
      </c>
      <c r="N1103" s="256"/>
      <c r="O1103" s="461">
        <f>CompletedProjects[[#This Row],[Power Plant Size (MW) or Share]]*0.593*9057*211.9*10^(-9)</f>
        <v>0</v>
      </c>
      <c r="P1103" s="337">
        <f>CompletedProjects[[#This Row],[Annual Emissions (MMTCO2)]]*40</f>
        <v>0</v>
      </c>
      <c r="Q1103" s="167"/>
      <c r="R1103" s="167" t="s">
        <v>400</v>
      </c>
      <c r="S1103" s="167" t="s">
        <v>633</v>
      </c>
      <c r="T1103" s="167" t="s">
        <v>537</v>
      </c>
    </row>
    <row r="1104" spans="1:20" customFormat="1" ht="172">
      <c r="A1104" s="167" t="s">
        <v>190</v>
      </c>
      <c r="B1104" s="167" t="s">
        <v>512</v>
      </c>
      <c r="C1104" s="167" t="s">
        <v>464</v>
      </c>
      <c r="D1104" s="172">
        <f>4200000*'Dev Bank Share by Country'!$E$183</f>
        <v>254279.82607819446</v>
      </c>
      <c r="E1104" s="173" t="s">
        <v>448</v>
      </c>
      <c r="F1104" s="173" t="s">
        <v>449</v>
      </c>
      <c r="G1104" s="262" t="s">
        <v>792</v>
      </c>
      <c r="H1104" s="173" t="s">
        <v>450</v>
      </c>
      <c r="I1104" s="173" t="s">
        <v>40</v>
      </c>
      <c r="J1104" s="173" t="s">
        <v>1502</v>
      </c>
      <c r="K1104" s="241">
        <v>41404</v>
      </c>
      <c r="L1104" s="173" t="s">
        <v>925</v>
      </c>
      <c r="M1104" s="262"/>
      <c r="N1104" s="256"/>
      <c r="O1104" s="461">
        <f>CompletedProjects[[#This Row],[Power Plant Size (MW) or Share]]*0.593*9057*211.9*10^(-9)</f>
        <v>0</v>
      </c>
      <c r="P1104" s="337">
        <f>CompletedProjects[[#This Row],[Annual Emissions (MMTCO2)]]*40</f>
        <v>0</v>
      </c>
      <c r="Q1104" s="167"/>
      <c r="R1104" s="167" t="s">
        <v>400</v>
      </c>
      <c r="S1104" s="167" t="s">
        <v>465</v>
      </c>
      <c r="T1104" s="167"/>
    </row>
    <row r="1105" spans="1:20" customFormat="1" ht="157.69999999999999">
      <c r="A1105" s="167" t="s">
        <v>190</v>
      </c>
      <c r="B1105" s="167" t="s">
        <v>513</v>
      </c>
      <c r="C1105" s="167" t="s">
        <v>464</v>
      </c>
      <c r="D1105" s="172">
        <f>180000000*'Dev Bank Share by Country'!$C$183</f>
        <v>7470000</v>
      </c>
      <c r="E1105" s="173" t="s">
        <v>425</v>
      </c>
      <c r="F1105" s="173" t="s">
        <v>426</v>
      </c>
      <c r="G1105" s="262" t="s">
        <v>770</v>
      </c>
      <c r="H1105" s="173" t="s">
        <v>65</v>
      </c>
      <c r="I1105" s="180" t="s">
        <v>283</v>
      </c>
      <c r="J1105" s="173" t="s">
        <v>277</v>
      </c>
      <c r="K1105" s="241">
        <v>39982</v>
      </c>
      <c r="L1105" s="173" t="s">
        <v>921</v>
      </c>
      <c r="M1105" s="273"/>
      <c r="N1105" s="256">
        <f>420/19</f>
        <v>22.105263157894736</v>
      </c>
      <c r="O1105" s="461">
        <f>CompletedProjects[[#This Row],[Power Plant Size (MW) or Share]]*0.593*9057*211.9*10^(-9)</f>
        <v>2.5157397231473682E-2</v>
      </c>
      <c r="P1105" s="337">
        <f>CompletedProjects[[#This Row],[Annual Emissions (MMTCO2)]]*40</f>
        <v>1.0062958892589473</v>
      </c>
      <c r="Q1105" s="167"/>
      <c r="R1105" s="167" t="s">
        <v>638</v>
      </c>
      <c r="S1105" s="167" t="s">
        <v>466</v>
      </c>
      <c r="T1105" s="167"/>
    </row>
    <row r="1106" spans="1:20" customFormat="1" ht="100.35">
      <c r="A1106" s="167" t="s">
        <v>190</v>
      </c>
      <c r="B1106" s="167" t="s">
        <v>511</v>
      </c>
      <c r="C1106" s="167" t="s">
        <v>464</v>
      </c>
      <c r="D1106" s="172">
        <f>25000000*'Dev Bank Share by Country'!$G$183</f>
        <v>1178935.0995813643</v>
      </c>
      <c r="E1106" s="173" t="s">
        <v>398</v>
      </c>
      <c r="F1106" s="173" t="s">
        <v>398</v>
      </c>
      <c r="G1106" s="262" t="s">
        <v>787</v>
      </c>
      <c r="H1106" s="173" t="s">
        <v>399</v>
      </c>
      <c r="I1106" s="180" t="s">
        <v>283</v>
      </c>
      <c r="J1106" s="173" t="s">
        <v>26</v>
      </c>
      <c r="K1106" s="241">
        <v>39204</v>
      </c>
      <c r="L1106" s="173" t="s">
        <v>915</v>
      </c>
      <c r="M1106" s="262"/>
      <c r="N1106" s="256">
        <f>30/20</f>
        <v>1.5</v>
      </c>
      <c r="O1106" s="461">
        <f>CompletedProjects[[#This Row],[Power Plant Size (MW) or Share]]*0.593*9057*211.9*10^(-9)</f>
        <v>1.7071090978499999E-3</v>
      </c>
      <c r="P1106" s="337">
        <f>CompletedProjects[[#This Row],[Annual Emissions (MMTCO2)]]*40</f>
        <v>6.8284363914000001E-2</v>
      </c>
      <c r="Q1106" s="167"/>
      <c r="R1106" s="167" t="s">
        <v>635</v>
      </c>
      <c r="S1106" s="167" t="s">
        <v>465</v>
      </c>
      <c r="T1106" s="167"/>
    </row>
    <row r="1107" spans="1:20" customFormat="1" ht="57.35">
      <c r="A1107" s="167" t="s">
        <v>190</v>
      </c>
      <c r="B1107" s="171" t="s">
        <v>559</v>
      </c>
      <c r="C1107" s="171" t="s">
        <v>464</v>
      </c>
      <c r="D1107" s="172">
        <v>10383738.360748647</v>
      </c>
      <c r="E1107" s="173" t="s">
        <v>592</v>
      </c>
      <c r="F1107" s="173" t="s">
        <v>599</v>
      </c>
      <c r="G1107" s="262" t="s">
        <v>799</v>
      </c>
      <c r="H1107" s="173" t="s">
        <v>201</v>
      </c>
      <c r="I1107" s="173" t="s">
        <v>40</v>
      </c>
      <c r="J1107" s="173" t="s">
        <v>40</v>
      </c>
      <c r="K1107" s="240">
        <v>40310</v>
      </c>
      <c r="L1107" s="173" t="s">
        <v>1692</v>
      </c>
      <c r="M1107" s="262" t="s">
        <v>908</v>
      </c>
      <c r="N1107" s="337"/>
      <c r="O1107" s="461">
        <f>CompletedProjects[[#This Row],[Power Plant Size (MW) or Share]]*0.593*9057*211.9*10^(-9)</f>
        <v>0</v>
      </c>
      <c r="P1107" s="337">
        <f>CompletedProjects[[#This Row],[Annual Emissions (MMTCO2)]]*40</f>
        <v>0</v>
      </c>
      <c r="Q1107" s="176">
        <v>0.3</v>
      </c>
      <c r="R1107" s="178"/>
      <c r="S1107" s="167"/>
      <c r="T1107" s="178"/>
    </row>
    <row r="1108" spans="1:20" customFormat="1" ht="114.7">
      <c r="A1108" s="167" t="s">
        <v>190</v>
      </c>
      <c r="B1108" s="171" t="s">
        <v>559</v>
      </c>
      <c r="C1108" s="171" t="s">
        <v>464</v>
      </c>
      <c r="D1108" s="172">
        <v>9876155.556977395</v>
      </c>
      <c r="E1108" s="173" t="s">
        <v>606</v>
      </c>
      <c r="F1108" s="173" t="s">
        <v>607</v>
      </c>
      <c r="G1108" s="262" t="s">
        <v>730</v>
      </c>
      <c r="H1108" s="173" t="s">
        <v>56</v>
      </c>
      <c r="I1108" s="173" t="s">
        <v>40</v>
      </c>
      <c r="J1108" s="173" t="s">
        <v>40</v>
      </c>
      <c r="K1108" s="240">
        <v>40750</v>
      </c>
      <c r="L1108" s="173" t="s">
        <v>1696</v>
      </c>
      <c r="M1108" s="262" t="s">
        <v>912</v>
      </c>
      <c r="N1108" s="337"/>
      <c r="O1108" s="461">
        <f>CompletedProjects[[#This Row],[Power Plant Size (MW) or Share]]*0.593*9057*211.9*10^(-9)</f>
        <v>0</v>
      </c>
      <c r="P1108" s="337">
        <f>CompletedProjects[[#This Row],[Annual Emissions (MMTCO2)]]*40</f>
        <v>0</v>
      </c>
      <c r="Q1108" s="176"/>
      <c r="R1108" s="178"/>
      <c r="S1108" s="167"/>
      <c r="T1108" s="178"/>
    </row>
    <row r="1109" spans="1:20" customFormat="1" ht="229.35">
      <c r="A1109" s="167" t="s">
        <v>190</v>
      </c>
      <c r="B1109" s="167" t="s">
        <v>513</v>
      </c>
      <c r="C1109" s="167" t="s">
        <v>464</v>
      </c>
      <c r="D1109" s="172">
        <f>1000000000*'Dev Bank Share by Country'!$C$183</f>
        <v>41500000</v>
      </c>
      <c r="E1109" s="173" t="s">
        <v>425</v>
      </c>
      <c r="F1109" s="173" t="s">
        <v>427</v>
      </c>
      <c r="G1109" s="262" t="s">
        <v>778</v>
      </c>
      <c r="H1109" s="173" t="s">
        <v>65</v>
      </c>
      <c r="I1109" s="173" t="s">
        <v>1507</v>
      </c>
      <c r="J1109" s="173" t="s">
        <v>428</v>
      </c>
      <c r="K1109" s="241">
        <v>40078</v>
      </c>
      <c r="L1109" s="173" t="s">
        <v>824</v>
      </c>
      <c r="M1109" s="262"/>
      <c r="N1109" s="256"/>
      <c r="O1109" s="461">
        <f>CompletedProjects[[#This Row],[Power Plant Size (MW) or Share]]*0.593*9057*211.9*10^(-9)</f>
        <v>0</v>
      </c>
      <c r="P1109" s="337">
        <f>CompletedProjects[[#This Row],[Annual Emissions (MMTCO2)]]*40</f>
        <v>0</v>
      </c>
      <c r="Q1109" s="167"/>
      <c r="R1109" s="167" t="s">
        <v>400</v>
      </c>
      <c r="S1109" s="167" t="s">
        <v>465</v>
      </c>
      <c r="T1109" s="167"/>
    </row>
    <row r="1110" spans="1:20" customFormat="1" ht="100.35">
      <c r="A1110" s="167" t="s">
        <v>190</v>
      </c>
      <c r="B1110" s="167" t="s">
        <v>511</v>
      </c>
      <c r="C1110" s="167" t="s">
        <v>464</v>
      </c>
      <c r="D1110" s="172">
        <f>46500000*'Dev Bank Share by Country'!$G$183</f>
        <v>2192819.2852213378</v>
      </c>
      <c r="E1110" s="173" t="s">
        <v>423</v>
      </c>
      <c r="F1110" s="173" t="s">
        <v>424</v>
      </c>
      <c r="G1110" s="262" t="s">
        <v>774</v>
      </c>
      <c r="H1110" s="173" t="s">
        <v>65</v>
      </c>
      <c r="I1110" s="173" t="s">
        <v>284</v>
      </c>
      <c r="J1110" s="173" t="s">
        <v>79</v>
      </c>
      <c r="K1110" s="241">
        <v>39898</v>
      </c>
      <c r="L1110" s="173" t="s">
        <v>920</v>
      </c>
      <c r="M1110" s="273"/>
      <c r="N1110" s="256"/>
      <c r="O1110" s="461">
        <f>CompletedProjects[[#This Row],[Power Plant Size (MW) or Share]]*0.593*9057*211.9*10^(-9)</f>
        <v>0</v>
      </c>
      <c r="P1110" s="337">
        <f>CompletedProjects[[#This Row],[Annual Emissions (MMTCO2)]]*40</f>
        <v>0</v>
      </c>
      <c r="Q1110" s="167"/>
      <c r="R1110" s="167" t="s">
        <v>400</v>
      </c>
      <c r="S1110" s="167" t="s">
        <v>465</v>
      </c>
      <c r="T1110" s="167"/>
    </row>
    <row r="1111" spans="1:20" s="146" customFormat="1" ht="71.7">
      <c r="A1111" s="167" t="s">
        <v>190</v>
      </c>
      <c r="B1111" s="186" t="s">
        <v>519</v>
      </c>
      <c r="C1111" s="186" t="s">
        <v>464</v>
      </c>
      <c r="D1111" s="172">
        <f>500000*'Dev Bank Share by Country'!$K$183</f>
        <v>10225</v>
      </c>
      <c r="E1111" s="173" t="s">
        <v>531</v>
      </c>
      <c r="F1111" s="173" t="s">
        <v>532</v>
      </c>
      <c r="G1111" s="262"/>
      <c r="H1111" s="173" t="s">
        <v>239</v>
      </c>
      <c r="I1111" s="180" t="s">
        <v>283</v>
      </c>
      <c r="J1111" s="173" t="s">
        <v>26</v>
      </c>
      <c r="K1111" s="241">
        <v>40035</v>
      </c>
      <c r="L1111" s="173" t="s">
        <v>1710</v>
      </c>
      <c r="M1111" s="262"/>
      <c r="N1111" s="337">
        <f>600/13</f>
        <v>46.153846153846153</v>
      </c>
      <c r="O1111" s="461">
        <f>CompletedProjects[[#This Row],[Power Plant Size (MW) or Share]]*0.593*9057*211.9*10^(-9)</f>
        <v>5.2526433780000006E-2</v>
      </c>
      <c r="P1111" s="337">
        <f>CompletedProjects[[#This Row],[Annual Emissions (MMTCO2)]]*40</f>
        <v>2.1010573512000001</v>
      </c>
      <c r="Q1111" s="176"/>
      <c r="R1111" s="178" t="s">
        <v>524</v>
      </c>
      <c r="S1111" s="167"/>
      <c r="T1111" s="178"/>
    </row>
    <row r="1112" spans="1:20" s="146" customFormat="1" ht="272.35000000000002">
      <c r="A1112" s="167" t="s">
        <v>190</v>
      </c>
      <c r="B1112" s="167" t="s">
        <v>513</v>
      </c>
      <c r="C1112" s="167" t="s">
        <v>464</v>
      </c>
      <c r="D1112" s="172">
        <f>29600000*'Dev Bank Share by Country'!$C$183</f>
        <v>1228400</v>
      </c>
      <c r="E1112" s="173" t="s">
        <v>266</v>
      </c>
      <c r="F1112" s="173" t="s">
        <v>444</v>
      </c>
      <c r="G1112" s="262" t="s">
        <v>781</v>
      </c>
      <c r="H1112" s="173" t="s">
        <v>85</v>
      </c>
      <c r="I1112" s="173" t="s">
        <v>284</v>
      </c>
      <c r="J1112" s="173" t="s">
        <v>1498</v>
      </c>
      <c r="K1112" s="241">
        <v>41163</v>
      </c>
      <c r="L1112" s="173" t="s">
        <v>825</v>
      </c>
      <c r="M1112" s="262"/>
      <c r="N1112" s="256"/>
      <c r="O1112" s="461">
        <f>CompletedProjects[[#This Row],[Power Plant Size (MW) or Share]]*0.593*9057*211.9*10^(-9)</f>
        <v>0</v>
      </c>
      <c r="P1112" s="337">
        <f>CompletedProjects[[#This Row],[Annual Emissions (MMTCO2)]]*40</f>
        <v>0</v>
      </c>
      <c r="Q1112" s="167"/>
      <c r="R1112" s="167" t="s">
        <v>400</v>
      </c>
      <c r="S1112" s="167" t="s">
        <v>465</v>
      </c>
      <c r="T1112" s="167"/>
    </row>
    <row r="1113" spans="1:20" customFormat="1" ht="43">
      <c r="A1113" s="167" t="s">
        <v>190</v>
      </c>
      <c r="B1113" s="182" t="s">
        <v>559</v>
      </c>
      <c r="C1113" s="182" t="s">
        <v>464</v>
      </c>
      <c r="D1113" s="172">
        <v>1452552.1616394678</v>
      </c>
      <c r="E1113" s="173" t="s">
        <v>598</v>
      </c>
      <c r="F1113" s="173" t="s">
        <v>598</v>
      </c>
      <c r="G1113" s="262" t="s">
        <v>798</v>
      </c>
      <c r="H1113" s="173" t="s">
        <v>201</v>
      </c>
      <c r="I1113" s="173" t="s">
        <v>40</v>
      </c>
      <c r="J1113" s="173" t="s">
        <v>40</v>
      </c>
      <c r="K1113" s="240">
        <v>40199</v>
      </c>
      <c r="L1113" s="269" t="s">
        <v>1691</v>
      </c>
      <c r="M1113" s="262"/>
      <c r="N1113" s="337"/>
      <c r="O1113" s="461">
        <f>CompletedProjects[[#This Row],[Power Plant Size (MW) or Share]]*0.593*9057*211.9*10^(-9)</f>
        <v>0</v>
      </c>
      <c r="P1113" s="337">
        <f>CompletedProjects[[#This Row],[Annual Emissions (MMTCO2)]]*40</f>
        <v>0</v>
      </c>
      <c r="Q1113" s="176"/>
      <c r="R1113" s="178"/>
      <c r="S1113" s="167"/>
      <c r="T1113" s="178"/>
    </row>
    <row r="1114" spans="1:20" customFormat="1" ht="157.69999999999999">
      <c r="A1114" s="167" t="s">
        <v>190</v>
      </c>
      <c r="B1114" s="167" t="s">
        <v>512</v>
      </c>
      <c r="C1114" s="167" t="s">
        <v>464</v>
      </c>
      <c r="D1114" s="172">
        <f>2000000*'Dev Bank Share by Country'!$E$183</f>
        <v>121085.63146580687</v>
      </c>
      <c r="E1114" s="173" t="s">
        <v>410</v>
      </c>
      <c r="F1114" s="173" t="s">
        <v>411</v>
      </c>
      <c r="G1114" s="262" t="s">
        <v>777</v>
      </c>
      <c r="H1114" s="173" t="s">
        <v>412</v>
      </c>
      <c r="I1114" s="173" t="s">
        <v>284</v>
      </c>
      <c r="J1114" s="173" t="s">
        <v>1498</v>
      </c>
      <c r="K1114" s="241">
        <v>39261</v>
      </c>
      <c r="L1114" s="173" t="s">
        <v>916</v>
      </c>
      <c r="M1114" s="262"/>
      <c r="N1114" s="256"/>
      <c r="O1114" s="461">
        <f>CompletedProjects[[#This Row],[Power Plant Size (MW) or Share]]*0.593*9057*211.9*10^(-9)</f>
        <v>0</v>
      </c>
      <c r="P1114" s="337">
        <f>CompletedProjects[[#This Row],[Annual Emissions (MMTCO2)]]*40</f>
        <v>0</v>
      </c>
      <c r="Q1114" s="167"/>
      <c r="R1114" s="167" t="s">
        <v>400</v>
      </c>
      <c r="S1114" s="167" t="s">
        <v>633</v>
      </c>
      <c r="T1114" s="167"/>
    </row>
    <row r="1115" spans="1:20" customFormat="1" ht="114.7">
      <c r="A1115" s="167" t="s">
        <v>190</v>
      </c>
      <c r="B1115" s="167" t="s">
        <v>513</v>
      </c>
      <c r="C1115" s="167" t="s">
        <v>464</v>
      </c>
      <c r="D1115" s="172">
        <f>3040000000*'Dev Bank Share by Country'!$C$183</f>
        <v>126160000</v>
      </c>
      <c r="E1115" s="173" t="s">
        <v>41</v>
      </c>
      <c r="F1115" s="173" t="s">
        <v>432</v>
      </c>
      <c r="G1115" s="262" t="s">
        <v>773</v>
      </c>
      <c r="H1115" s="173" t="s">
        <v>25</v>
      </c>
      <c r="I1115" s="180" t="s">
        <v>283</v>
      </c>
      <c r="J1115" s="173" t="s">
        <v>26</v>
      </c>
      <c r="K1115" s="241">
        <v>40276</v>
      </c>
      <c r="L1115" s="173" t="s">
        <v>923</v>
      </c>
      <c r="M1115" s="273"/>
      <c r="N1115" s="337">
        <f>4800/19/2</f>
        <v>126.31578947368421</v>
      </c>
      <c r="O1115" s="461">
        <f>CompletedProjects[[#This Row],[Power Plant Size (MW) or Share]]*0.593*9057*211.9*10^(-9)</f>
        <v>0.14375655560842107</v>
      </c>
      <c r="P1115" s="337">
        <f>CompletedProjects[[#This Row],[Annual Emissions (MMTCO2)]]*40</f>
        <v>5.7502622243368426</v>
      </c>
      <c r="Q1115" s="167"/>
      <c r="R1115" s="178" t="s">
        <v>643</v>
      </c>
      <c r="S1115" s="167" t="s">
        <v>465</v>
      </c>
      <c r="T1115" s="178"/>
    </row>
    <row r="1116" spans="1:20" customFormat="1" ht="43">
      <c r="A1116" s="181" t="s">
        <v>190</v>
      </c>
      <c r="B1116" s="182" t="s">
        <v>559</v>
      </c>
      <c r="C1116" s="182" t="s">
        <v>464</v>
      </c>
      <c r="D1116" s="172">
        <v>1711108.4400680675</v>
      </c>
      <c r="E1116" s="173" t="s">
        <v>592</v>
      </c>
      <c r="F1116" s="173" t="s">
        <v>593</v>
      </c>
      <c r="G1116" s="262" t="s">
        <v>795</v>
      </c>
      <c r="H1116" s="173" t="s">
        <v>201</v>
      </c>
      <c r="I1116" s="173" t="s">
        <v>40</v>
      </c>
      <c r="J1116" s="173" t="s">
        <v>40</v>
      </c>
      <c r="K1116" s="240">
        <v>39854</v>
      </c>
      <c r="L1116" s="183" t="s">
        <v>1689</v>
      </c>
      <c r="M1116" s="262"/>
      <c r="N1116" s="337"/>
      <c r="O1116" s="461">
        <f>CompletedProjects[[#This Row],[Power Plant Size (MW) or Share]]*0.593*9057*211.9*10^(-9)</f>
        <v>0</v>
      </c>
      <c r="P1116" s="337">
        <f>CompletedProjects[[#This Row],[Annual Emissions (MMTCO2)]]*40</f>
        <v>0</v>
      </c>
      <c r="Q1116" s="176"/>
      <c r="R1116" s="173" t="s">
        <v>907</v>
      </c>
      <c r="S1116" s="167"/>
      <c r="T1116" s="173"/>
    </row>
    <row r="1117" spans="1:20" customFormat="1" ht="100.35">
      <c r="A1117" s="167" t="s">
        <v>190</v>
      </c>
      <c r="B1117" s="167" t="s">
        <v>513</v>
      </c>
      <c r="C1117" s="167" t="s">
        <v>464</v>
      </c>
      <c r="D1117" s="172">
        <f>379060000*'Dev Bank Share by Country'!$C$183</f>
        <v>15730990</v>
      </c>
      <c r="E1117" s="173" t="s">
        <v>429</v>
      </c>
      <c r="F1117" s="173" t="s">
        <v>430</v>
      </c>
      <c r="G1117" s="262" t="s">
        <v>779</v>
      </c>
      <c r="H1117" s="173" t="s">
        <v>431</v>
      </c>
      <c r="I1117" s="180" t="s">
        <v>283</v>
      </c>
      <c r="J1117" s="173" t="s">
        <v>26</v>
      </c>
      <c r="K1117" s="241">
        <v>40115</v>
      </c>
      <c r="L1117" s="173" t="s">
        <v>922</v>
      </c>
      <c r="M1117" s="262"/>
      <c r="N1117" s="337">
        <f>600/19/2</f>
        <v>15.789473684210526</v>
      </c>
      <c r="O1117" s="461">
        <f>CompletedProjects[[#This Row],[Power Plant Size (MW) or Share]]*0.593*9057*211.9*10^(-9)</f>
        <v>1.7969569451052634E-2</v>
      </c>
      <c r="P1117" s="337">
        <f>CompletedProjects[[#This Row],[Annual Emissions (MMTCO2)]]*40</f>
        <v>0.71878277804210533</v>
      </c>
      <c r="Q1117" s="167"/>
      <c r="R1117" s="178" t="s">
        <v>640</v>
      </c>
      <c r="S1117" s="167" t="s">
        <v>633</v>
      </c>
      <c r="T1117" s="178"/>
    </row>
    <row r="1118" spans="1:20" customFormat="1" ht="172">
      <c r="A1118" s="167" t="s">
        <v>190</v>
      </c>
      <c r="B1118" s="167" t="s">
        <v>512</v>
      </c>
      <c r="C1118" s="167" t="s">
        <v>464</v>
      </c>
      <c r="D1118" s="172">
        <f>12100000*'Dev Bank Share by Country'!$E$183</f>
        <v>732568.07036813162</v>
      </c>
      <c r="E1118" s="173" t="s">
        <v>451</v>
      </c>
      <c r="F1118" s="173" t="s">
        <v>452</v>
      </c>
      <c r="G1118" s="262" t="s">
        <v>793</v>
      </c>
      <c r="H1118" s="173" t="s">
        <v>453</v>
      </c>
      <c r="I1118" s="173" t="s">
        <v>284</v>
      </c>
      <c r="J1118" s="173" t="s">
        <v>1498</v>
      </c>
      <c r="K1118" s="241">
        <v>41471</v>
      </c>
      <c r="L1118" s="173" t="s">
        <v>926</v>
      </c>
      <c r="M1118" s="262" t="s">
        <v>898</v>
      </c>
      <c r="N1118" s="256"/>
      <c r="O1118" s="461">
        <f>CompletedProjects[[#This Row],[Power Plant Size (MW) or Share]]*0.593*9057*211.9*10^(-9)</f>
        <v>0</v>
      </c>
      <c r="P1118" s="337">
        <f>CompletedProjects[[#This Row],[Annual Emissions (MMTCO2)]]*40</f>
        <v>0</v>
      </c>
      <c r="Q1118" s="167"/>
      <c r="R1118" s="167" t="s">
        <v>400</v>
      </c>
      <c r="S1118" s="167" t="s">
        <v>633</v>
      </c>
      <c r="T1118" s="167" t="s">
        <v>537</v>
      </c>
    </row>
    <row r="1119" spans="1:20" customFormat="1" ht="215">
      <c r="A1119" s="167" t="s">
        <v>190</v>
      </c>
      <c r="B1119" s="167" t="s">
        <v>445</v>
      </c>
      <c r="C1119" s="167" t="s">
        <v>464</v>
      </c>
      <c r="D1119" s="172">
        <f>28000000*'Dev Bank Share by Country'!G183</f>
        <v>1320407.3115311281</v>
      </c>
      <c r="E1119" s="173" t="s">
        <v>446</v>
      </c>
      <c r="F1119" s="173" t="s">
        <v>447</v>
      </c>
      <c r="G1119" s="262" t="s">
        <v>782</v>
      </c>
      <c r="H1119" s="173" t="s">
        <v>201</v>
      </c>
      <c r="I1119" s="173" t="s">
        <v>284</v>
      </c>
      <c r="J1119" s="173" t="s">
        <v>1498</v>
      </c>
      <c r="K1119" s="241">
        <v>41333</v>
      </c>
      <c r="L1119" s="173" t="s">
        <v>832</v>
      </c>
      <c r="M1119" s="262"/>
      <c r="N1119" s="256">
        <f>750/19</f>
        <v>39.473684210526315</v>
      </c>
      <c r="O1119" s="461">
        <f>CompletedProjects[[#This Row],[Power Plant Size (MW) or Share]]*0.593*9057*211.9*10^(-9)</f>
        <v>4.4923923627631576E-2</v>
      </c>
      <c r="P1119" s="337">
        <f>CompletedProjects[[#This Row],[Annual Emissions (MMTCO2)]]*40</f>
        <v>1.7969569451052632</v>
      </c>
      <c r="Q1119" s="167"/>
      <c r="R1119" s="167" t="s">
        <v>639</v>
      </c>
      <c r="S1119" s="167"/>
      <c r="T1119" s="167"/>
    </row>
    <row r="1120" spans="1:20" customFormat="1" ht="86">
      <c r="A1120" s="167" t="s">
        <v>190</v>
      </c>
      <c r="B1120" s="167" t="s">
        <v>511</v>
      </c>
      <c r="C1120" s="167" t="s">
        <v>464</v>
      </c>
      <c r="D1120" s="172">
        <f>45500000*'Dev Bank Share by Country'!$G$183</f>
        <v>2145661.8812380834</v>
      </c>
      <c r="E1120" s="173" t="s">
        <v>440</v>
      </c>
      <c r="F1120" s="173" t="s">
        <v>441</v>
      </c>
      <c r="G1120" s="262" t="s">
        <v>771</v>
      </c>
      <c r="H1120" s="173" t="s">
        <v>442</v>
      </c>
      <c r="I1120" s="173" t="s">
        <v>40</v>
      </c>
      <c r="J1120" s="173" t="s">
        <v>443</v>
      </c>
      <c r="K1120" s="241">
        <v>41060</v>
      </c>
      <c r="L1120" s="173" t="s">
        <v>924</v>
      </c>
      <c r="M1120" s="273"/>
      <c r="N1120" s="256"/>
      <c r="O1120" s="461">
        <f>CompletedProjects[[#This Row],[Power Plant Size (MW) or Share]]*0.593*9057*211.9*10^(-9)</f>
        <v>0</v>
      </c>
      <c r="P1120" s="337">
        <f>CompletedProjects[[#This Row],[Annual Emissions (MMTCO2)]]*40</f>
        <v>0</v>
      </c>
      <c r="Q1120" s="167"/>
      <c r="R1120" s="167" t="s">
        <v>400</v>
      </c>
      <c r="S1120" s="167" t="s">
        <v>465</v>
      </c>
      <c r="T1120" s="167"/>
    </row>
    <row r="1121" spans="1:20" customFormat="1" ht="71.7">
      <c r="A1121" s="167" t="s">
        <v>190</v>
      </c>
      <c r="B1121" s="186" t="s">
        <v>519</v>
      </c>
      <c r="C1121" s="186" t="s">
        <v>464</v>
      </c>
      <c r="D1121" s="172">
        <f>900525000*'Dev Bank Share by Country'!$K$183</f>
        <v>18415736.25</v>
      </c>
      <c r="E1121" s="173" t="s">
        <v>510</v>
      </c>
      <c r="F1121" s="173" t="s">
        <v>541</v>
      </c>
      <c r="G1121" s="262"/>
      <c r="H1121" s="173" t="s">
        <v>442</v>
      </c>
      <c r="I1121" s="180" t="s">
        <v>283</v>
      </c>
      <c r="J1121" s="173" t="s">
        <v>26</v>
      </c>
      <c r="K1121" s="241">
        <v>41617</v>
      </c>
      <c r="L1121" s="178" t="s">
        <v>1712</v>
      </c>
      <c r="M1121" s="262" t="s">
        <v>902</v>
      </c>
      <c r="N1121" s="337">
        <f>600/13</f>
        <v>46.153846153846153</v>
      </c>
      <c r="O1121" s="461">
        <f>CompletedProjects[[#This Row],[Power Plant Size (MW) or Share]]*0.593*9057*211.9*10^(-9)</f>
        <v>5.2526433780000006E-2</v>
      </c>
      <c r="P1121" s="337">
        <f>CompletedProjects[[#This Row],[Annual Emissions (MMTCO2)]]*40</f>
        <v>2.1010573512000001</v>
      </c>
      <c r="Q1121" s="176"/>
      <c r="R1121" s="178" t="s">
        <v>524</v>
      </c>
      <c r="S1121" s="167"/>
      <c r="T1121" s="178"/>
    </row>
    <row r="1122" spans="1:20" customFormat="1" ht="114.7">
      <c r="A1122" s="167" t="s">
        <v>190</v>
      </c>
      <c r="B1122" s="167" t="s">
        <v>512</v>
      </c>
      <c r="C1122" s="167" t="s">
        <v>464</v>
      </c>
      <c r="D1122" s="172">
        <f>280000*'Dev Bank Share by Country'!$E$183</f>
        <v>16951.988405212964</v>
      </c>
      <c r="E1122" s="173" t="s">
        <v>437</v>
      </c>
      <c r="F1122" s="173" t="s">
        <v>438</v>
      </c>
      <c r="G1122" s="262" t="s">
        <v>790</v>
      </c>
      <c r="H1122" s="173" t="s">
        <v>439</v>
      </c>
      <c r="I1122" s="173" t="s">
        <v>284</v>
      </c>
      <c r="J1122" s="173" t="s">
        <v>1498</v>
      </c>
      <c r="K1122" s="241">
        <v>41039</v>
      </c>
      <c r="L1122" s="173" t="s">
        <v>897</v>
      </c>
      <c r="M1122" s="273" t="s">
        <v>780</v>
      </c>
      <c r="N1122" s="256"/>
      <c r="O1122" s="461">
        <f>CompletedProjects[[#This Row],[Power Plant Size (MW) or Share]]*0.593*9057*211.9*10^(-9)</f>
        <v>0</v>
      </c>
      <c r="P1122" s="337">
        <f>CompletedProjects[[#This Row],[Annual Emissions (MMTCO2)]]*40</f>
        <v>0</v>
      </c>
      <c r="Q1122" s="167"/>
      <c r="R1122" s="167" t="s">
        <v>400</v>
      </c>
      <c r="S1122" s="167" t="s">
        <v>465</v>
      </c>
      <c r="T1122" s="167"/>
    </row>
    <row r="1123" spans="1:20" customFormat="1" ht="43">
      <c r="A1123" s="167" t="s">
        <v>190</v>
      </c>
      <c r="B1123" s="167" t="s">
        <v>511</v>
      </c>
      <c r="C1123" s="167" t="s">
        <v>464</v>
      </c>
      <c r="D1123" s="172">
        <f>740000000*'Dev Bank Share by Country'!$G$183</f>
        <v>34896478.947608389</v>
      </c>
      <c r="E1123" s="173" t="s">
        <v>418</v>
      </c>
      <c r="F1123" s="173" t="s">
        <v>419</v>
      </c>
      <c r="G1123" s="262" t="s">
        <v>765</v>
      </c>
      <c r="H1123" s="173" t="s">
        <v>144</v>
      </c>
      <c r="I1123" s="180" t="s">
        <v>283</v>
      </c>
      <c r="J1123" s="173" t="s">
        <v>26</v>
      </c>
      <c r="K1123" s="241">
        <v>39520</v>
      </c>
      <c r="L1123" s="202" t="s">
        <v>817</v>
      </c>
      <c r="M1123" s="451"/>
      <c r="N1123" s="256">
        <f>330/19</f>
        <v>17.368421052631579</v>
      </c>
      <c r="O1123" s="461">
        <f>CompletedProjects[[#This Row],[Power Plant Size (MW) or Share]]*0.593*9057*211.9*10^(-9)</f>
        <v>1.9766526396157894E-2</v>
      </c>
      <c r="P1123" s="337">
        <f>CompletedProjects[[#This Row],[Annual Emissions (MMTCO2)]]*40</f>
        <v>0.79066105584631574</v>
      </c>
      <c r="Q1123" s="167"/>
      <c r="R1123" s="167" t="s">
        <v>400</v>
      </c>
      <c r="S1123" s="167" t="s">
        <v>633</v>
      </c>
      <c r="T1123" s="167"/>
    </row>
    <row r="1124" spans="1:20" customFormat="1" ht="43">
      <c r="A1124" s="167" t="s">
        <v>190</v>
      </c>
      <c r="B1124" s="167" t="s">
        <v>477</v>
      </c>
      <c r="C1124" s="167" t="s">
        <v>464</v>
      </c>
      <c r="D1124" s="172">
        <f>505000000*0.161</f>
        <v>81305000</v>
      </c>
      <c r="E1124" s="173" t="s">
        <v>482</v>
      </c>
      <c r="F1124" s="173" t="s">
        <v>483</v>
      </c>
      <c r="G1124" s="262" t="s">
        <v>935</v>
      </c>
      <c r="H1124" s="173" t="s">
        <v>75</v>
      </c>
      <c r="I1124" s="180" t="s">
        <v>283</v>
      </c>
      <c r="J1124" s="173" t="s">
        <v>26</v>
      </c>
      <c r="K1124" s="241">
        <v>39391</v>
      </c>
      <c r="L1124" s="173" t="s">
        <v>1668</v>
      </c>
      <c r="M1124" s="262"/>
      <c r="N1124" s="150">
        <f>750/4</f>
        <v>187.5</v>
      </c>
      <c r="O1124" s="461">
        <f>CompletedProjects[[#This Row],[Power Plant Size (MW) or Share]]*0.593*9057*211.9*10^(-9)</f>
        <v>0.21338863723125004</v>
      </c>
      <c r="P1124" s="337">
        <f>CompletedProjects[[#This Row],[Annual Emissions (MMTCO2)]]*40</f>
        <v>8.5355454892500013</v>
      </c>
      <c r="Q1124" s="203"/>
      <c r="R1124" s="167" t="s">
        <v>484</v>
      </c>
      <c r="S1124" s="167"/>
      <c r="T1124" s="167"/>
    </row>
    <row r="1125" spans="1:20" customFormat="1" ht="57.35">
      <c r="A1125" s="167" t="s">
        <v>190</v>
      </c>
      <c r="B1125" s="167" t="s">
        <v>477</v>
      </c>
      <c r="C1125" s="167" t="s">
        <v>464</v>
      </c>
      <c r="D1125" s="172">
        <v>21161761.82052232</v>
      </c>
      <c r="E1125" s="173" t="s">
        <v>517</v>
      </c>
      <c r="F1125" s="173" t="s">
        <v>478</v>
      </c>
      <c r="G1125" s="262" t="s">
        <v>932</v>
      </c>
      <c r="H1125" s="173" t="s">
        <v>86</v>
      </c>
      <c r="I1125" s="180" t="s">
        <v>244</v>
      </c>
      <c r="J1125" s="173" t="s">
        <v>589</v>
      </c>
      <c r="K1125" s="241">
        <v>39259</v>
      </c>
      <c r="L1125" s="173"/>
      <c r="M1125" s="262"/>
      <c r="N1125" s="150">
        <f>3930/4</f>
        <v>982.5</v>
      </c>
      <c r="O1125" s="461">
        <f>CompletedProjects[[#This Row],[Power Plant Size (MW) or Share]]*0.593*9057*211.9*10^(-9)</f>
        <v>1.1181564590917499</v>
      </c>
      <c r="P1125" s="337">
        <f>CompletedProjects[[#This Row],[Annual Emissions (MMTCO2)]]*40</f>
        <v>44.726258363669999</v>
      </c>
      <c r="Q1125" s="203"/>
      <c r="R1125" s="167" t="s">
        <v>479</v>
      </c>
      <c r="S1125" s="167"/>
      <c r="T1125" s="167"/>
    </row>
    <row r="1126" spans="1:20" customFormat="1" ht="71.7">
      <c r="A1126" s="167" t="s">
        <v>190</v>
      </c>
      <c r="B1126" s="186" t="s">
        <v>519</v>
      </c>
      <c r="C1126" s="186" t="s">
        <v>464</v>
      </c>
      <c r="D1126" s="172">
        <f>350000*'Dev Bank Share by Country'!$K$183</f>
        <v>7157.5</v>
      </c>
      <c r="E1126" s="173" t="s">
        <v>542</v>
      </c>
      <c r="F1126" s="173" t="s">
        <v>543</v>
      </c>
      <c r="G1126" s="262"/>
      <c r="H1126" s="173" t="s">
        <v>201</v>
      </c>
      <c r="I1126" s="173" t="s">
        <v>40</v>
      </c>
      <c r="J1126" s="173" t="s">
        <v>40</v>
      </c>
      <c r="K1126" s="241">
        <v>41977</v>
      </c>
      <c r="L1126" s="173" t="s">
        <v>1713</v>
      </c>
      <c r="M1126" s="262" t="s">
        <v>805</v>
      </c>
      <c r="N1126" s="102"/>
      <c r="O1126" s="461">
        <f>CompletedProjects[[#This Row],[Power Plant Size (MW) or Share]]*0.593*9057*211.9*10^(-9)</f>
        <v>0</v>
      </c>
      <c r="P1126" s="337">
        <f>CompletedProjects[[#This Row],[Annual Emissions (MMTCO2)]]*40</f>
        <v>0</v>
      </c>
      <c r="Q1126" s="173"/>
      <c r="R1126" s="178"/>
      <c r="S1126" s="167"/>
      <c r="T1126" s="178"/>
    </row>
    <row r="1127" spans="1:20" customFormat="1" ht="28.7">
      <c r="A1127" s="167" t="s">
        <v>190</v>
      </c>
      <c r="B1127" s="167" t="s">
        <v>477</v>
      </c>
      <c r="C1127" s="194" t="s">
        <v>464</v>
      </c>
      <c r="D1127" s="172">
        <f>65000000*0.161</f>
        <v>10465000</v>
      </c>
      <c r="E1127" s="173" t="s">
        <v>491</v>
      </c>
      <c r="F1127" s="173" t="s">
        <v>492</v>
      </c>
      <c r="G1127" s="262" t="s">
        <v>939</v>
      </c>
      <c r="H1127" s="173" t="s">
        <v>493</v>
      </c>
      <c r="I1127" s="180" t="s">
        <v>283</v>
      </c>
      <c r="J1127" s="173" t="s">
        <v>26</v>
      </c>
      <c r="K1127" s="241">
        <v>39959</v>
      </c>
      <c r="L1127" s="173" t="s">
        <v>1669</v>
      </c>
      <c r="M1127" s="262" t="s">
        <v>940</v>
      </c>
      <c r="N1127" s="256">
        <f>(64+120)/4</f>
        <v>46</v>
      </c>
      <c r="O1127" s="461">
        <f>CompletedProjects[[#This Row],[Power Plant Size (MW) or Share]]*0.593*9057*211.9*10^(-9)</f>
        <v>5.2351345667400004E-2</v>
      </c>
      <c r="P1127" s="337">
        <f>CompletedProjects[[#This Row],[Annual Emissions (MMTCO2)]]*40</f>
        <v>2.0940538266960003</v>
      </c>
      <c r="Q1127" s="204"/>
      <c r="R1127" s="167" t="s">
        <v>494</v>
      </c>
      <c r="S1127" s="167"/>
      <c r="T1127" s="167"/>
    </row>
    <row r="1128" spans="1:20" customFormat="1" ht="43">
      <c r="A1128" s="218" t="s">
        <v>190</v>
      </c>
      <c r="B1128" s="218" t="s">
        <v>559</v>
      </c>
      <c r="C1128" s="218" t="s">
        <v>464</v>
      </c>
      <c r="D1128" s="172">
        <v>4797025.7225509658</v>
      </c>
      <c r="E1128" s="173" t="s">
        <v>602</v>
      </c>
      <c r="F1128" s="173" t="s">
        <v>603</v>
      </c>
      <c r="G1128" s="262" t="s">
        <v>801</v>
      </c>
      <c r="H1128" s="173" t="s">
        <v>39</v>
      </c>
      <c r="I1128" s="180" t="s">
        <v>283</v>
      </c>
      <c r="J1128" s="173" t="s">
        <v>277</v>
      </c>
      <c r="K1128" s="240">
        <v>40561</v>
      </c>
      <c r="L1128" s="173" t="s">
        <v>910</v>
      </c>
      <c r="M1128" s="262"/>
      <c r="N1128" s="337">
        <f>60/12</f>
        <v>5</v>
      </c>
      <c r="O1128" s="461">
        <f>CompletedProjects[[#This Row],[Power Plant Size (MW) or Share]]*0.593*9057*211.9*10^(-9)</f>
        <v>5.6903636594999992E-3</v>
      </c>
      <c r="P1128" s="337">
        <f>CompletedProjects[[#This Row],[Annual Emissions (MMTCO2)]]*40</f>
        <v>0.22761454637999998</v>
      </c>
      <c r="Q1128" s="176"/>
      <c r="R1128" s="178" t="s">
        <v>537</v>
      </c>
      <c r="S1128" s="167"/>
      <c r="T1128" s="178"/>
    </row>
    <row r="1129" spans="1:20" customFormat="1" ht="57.35">
      <c r="A1129" s="167" t="s">
        <v>190</v>
      </c>
      <c r="B1129" s="182" t="s">
        <v>559</v>
      </c>
      <c r="C1129" s="182" t="s">
        <v>464</v>
      </c>
      <c r="D1129" s="172">
        <v>6469618.9163542967</v>
      </c>
      <c r="E1129" s="173" t="s">
        <v>610</v>
      </c>
      <c r="F1129" s="173" t="s">
        <v>610</v>
      </c>
      <c r="G1129" s="262" t="s">
        <v>1604</v>
      </c>
      <c r="H1129" s="173" t="s">
        <v>368</v>
      </c>
      <c r="I1129" s="173" t="s">
        <v>40</v>
      </c>
      <c r="J1129" s="173" t="s">
        <v>40</v>
      </c>
      <c r="K1129" s="240">
        <v>41264</v>
      </c>
      <c r="L1129" s="173" t="s">
        <v>1695</v>
      </c>
      <c r="M1129" s="262"/>
      <c r="N1129" s="337"/>
      <c r="O1129" s="461">
        <f>CompletedProjects[[#This Row],[Power Plant Size (MW) or Share]]*0.593*9057*211.9*10^(-9)</f>
        <v>0</v>
      </c>
      <c r="P1129" s="337">
        <f>CompletedProjects[[#This Row],[Annual Emissions (MMTCO2)]]*40</f>
        <v>0</v>
      </c>
      <c r="Q1129" s="176"/>
      <c r="R1129" s="178"/>
      <c r="S1129" s="167"/>
      <c r="T1129" s="178"/>
    </row>
    <row r="1130" spans="1:20" customFormat="1" ht="258">
      <c r="A1130" s="167" t="s">
        <v>190</v>
      </c>
      <c r="B1130" s="167" t="s">
        <v>512</v>
      </c>
      <c r="C1130" s="167" t="s">
        <v>464</v>
      </c>
      <c r="D1130" s="172">
        <f>11000000*'Dev Bank Share by Country'!$E$183</f>
        <v>665970.97306193784</v>
      </c>
      <c r="E1130" s="173" t="s">
        <v>420</v>
      </c>
      <c r="F1130" s="173" t="s">
        <v>421</v>
      </c>
      <c r="G1130" s="262" t="s">
        <v>769</v>
      </c>
      <c r="H1130" s="173" t="s">
        <v>422</v>
      </c>
      <c r="I1130" s="180" t="s">
        <v>283</v>
      </c>
      <c r="J1130" s="173" t="s">
        <v>277</v>
      </c>
      <c r="K1130" s="241">
        <v>39777</v>
      </c>
      <c r="L1130" s="197"/>
      <c r="M1130" s="273"/>
      <c r="N1130" s="256"/>
      <c r="O1130" s="461">
        <f>CompletedProjects[[#This Row],[Power Plant Size (MW) or Share]]*0.593*9057*211.9*10^(-9)</f>
        <v>0</v>
      </c>
      <c r="P1130" s="337">
        <f>CompletedProjects[[#This Row],[Annual Emissions (MMTCO2)]]*40</f>
        <v>0</v>
      </c>
      <c r="Q1130" s="167"/>
      <c r="R1130" s="173" t="s">
        <v>834</v>
      </c>
      <c r="S1130" s="167" t="s">
        <v>633</v>
      </c>
      <c r="T1130" s="173"/>
    </row>
    <row r="1131" spans="1:20" customFormat="1" ht="57.35">
      <c r="A1131" s="167" t="s">
        <v>190</v>
      </c>
      <c r="B1131" s="167" t="s">
        <v>477</v>
      </c>
      <c r="C1131" s="194" t="s">
        <v>464</v>
      </c>
      <c r="D1131" s="172">
        <v>6858157.5609657103</v>
      </c>
      <c r="E1131" s="173" t="s">
        <v>504</v>
      </c>
      <c r="F1131" s="173" t="s">
        <v>505</v>
      </c>
      <c r="G1131" s="262" t="s">
        <v>945</v>
      </c>
      <c r="H1131" s="173" t="s">
        <v>506</v>
      </c>
      <c r="I1131" s="180" t="s">
        <v>244</v>
      </c>
      <c r="J1131" s="173" t="s">
        <v>589</v>
      </c>
      <c r="K1131" s="241">
        <v>40893</v>
      </c>
      <c r="L1131" s="173"/>
      <c r="M1131" s="262" t="s">
        <v>946</v>
      </c>
      <c r="N1131" s="256">
        <f>(150+115)/4</f>
        <v>66.25</v>
      </c>
      <c r="O1131" s="461">
        <f>CompletedProjects[[#This Row],[Power Plant Size (MW) or Share]]*0.593*9057*211.9*10^(-9)</f>
        <v>7.5397318488374998E-2</v>
      </c>
      <c r="P1131" s="337">
        <f>CompletedProjects[[#This Row],[Annual Emissions (MMTCO2)]]*40</f>
        <v>3.0158927395349999</v>
      </c>
      <c r="Q1131" s="203"/>
      <c r="R1131" s="167" t="s">
        <v>507</v>
      </c>
      <c r="S1131" s="167"/>
      <c r="T1131" s="167"/>
    </row>
    <row r="1132" spans="1:20" customFormat="1" ht="28.7">
      <c r="A1132" s="167" t="s">
        <v>190</v>
      </c>
      <c r="B1132" s="167" t="s">
        <v>477</v>
      </c>
      <c r="C1132" s="194" t="s">
        <v>464</v>
      </c>
      <c r="D1132" s="172">
        <v>118169452.15940833</v>
      </c>
      <c r="E1132" s="173" t="s">
        <v>488</v>
      </c>
      <c r="F1132" s="173" t="s">
        <v>489</v>
      </c>
      <c r="G1132" s="262" t="s">
        <v>937</v>
      </c>
      <c r="H1132" s="173" t="s">
        <v>75</v>
      </c>
      <c r="I1132" s="180" t="s">
        <v>283</v>
      </c>
      <c r="J1132" s="173" t="s">
        <v>26</v>
      </c>
      <c r="K1132" s="241">
        <v>39472</v>
      </c>
      <c r="L1132" s="173"/>
      <c r="M1132" s="262" t="s">
        <v>938</v>
      </c>
      <c r="N1132" s="150">
        <f>(800+220)/4</f>
        <v>255</v>
      </c>
      <c r="O1132" s="461">
        <f>CompletedProjects[[#This Row],[Power Plant Size (MW) or Share]]*0.593*9057*211.9*10^(-9)</f>
        <v>0.29020854663450002</v>
      </c>
      <c r="P1132" s="337">
        <f>CompletedProjects[[#This Row],[Annual Emissions (MMTCO2)]]*40</f>
        <v>11.608341865380002</v>
      </c>
      <c r="Q1132" s="204"/>
      <c r="R1132" s="167" t="s">
        <v>490</v>
      </c>
      <c r="S1132" s="167"/>
      <c r="T1132" s="167"/>
    </row>
    <row r="1133" spans="1:20" customFormat="1" ht="215">
      <c r="A1133" s="167" t="s">
        <v>190</v>
      </c>
      <c r="B1133" s="167" t="s">
        <v>512</v>
      </c>
      <c r="C1133" s="167" t="s">
        <v>464</v>
      </c>
      <c r="D1133" s="172">
        <f>200000000*'Dev Bank Share by Country'!$E$183</f>
        <v>12108563.146580689</v>
      </c>
      <c r="E1133" s="173" t="s">
        <v>461</v>
      </c>
      <c r="F1133" s="173" t="s">
        <v>462</v>
      </c>
      <c r="G1133" s="262" t="s">
        <v>795</v>
      </c>
      <c r="H1133" s="173" t="s">
        <v>442</v>
      </c>
      <c r="I1133" s="173" t="s">
        <v>284</v>
      </c>
      <c r="J1133" s="173" t="s">
        <v>1498</v>
      </c>
      <c r="K1133" s="241">
        <v>41760</v>
      </c>
      <c r="L1133" s="173" t="s">
        <v>831</v>
      </c>
      <c r="M1133" s="262" t="s">
        <v>830</v>
      </c>
      <c r="N1133" s="256"/>
      <c r="O1133" s="461">
        <f>CompletedProjects[[#This Row],[Power Plant Size (MW) or Share]]*0.593*9057*211.9*10^(-9)</f>
        <v>0</v>
      </c>
      <c r="P1133" s="337">
        <f>CompletedProjects[[#This Row],[Annual Emissions (MMTCO2)]]*40</f>
        <v>0</v>
      </c>
      <c r="Q1133" s="167"/>
      <c r="R1133" s="167" t="s">
        <v>400</v>
      </c>
      <c r="S1133" s="167" t="s">
        <v>465</v>
      </c>
      <c r="T1133" s="167"/>
    </row>
    <row r="1134" spans="1:20" customFormat="1" ht="28.7">
      <c r="A1134" s="181" t="s">
        <v>190</v>
      </c>
      <c r="B1134" s="182" t="s">
        <v>519</v>
      </c>
      <c r="C1134" s="182" t="s">
        <v>464</v>
      </c>
      <c r="D1134" s="172">
        <f>70500000*'Dev Bank Share by Country'!$K$183</f>
        <v>1441725</v>
      </c>
      <c r="E1134" s="183" t="s">
        <v>1400</v>
      </c>
      <c r="F1134" s="183" t="s">
        <v>1399</v>
      </c>
      <c r="G1134" s="267" t="s">
        <v>1401</v>
      </c>
      <c r="H1134" s="183" t="s">
        <v>273</v>
      </c>
      <c r="I1134" s="180" t="s">
        <v>283</v>
      </c>
      <c r="J1134" s="183" t="s">
        <v>26</v>
      </c>
      <c r="K1134" s="242">
        <v>40813</v>
      </c>
      <c r="L1134" s="183" t="s">
        <v>1711</v>
      </c>
      <c r="M1134" s="267"/>
      <c r="N1134" s="338"/>
      <c r="O1134" s="461">
        <f>CompletedProjects[[#This Row],[Power Plant Size (MW) or Share]]*0.593*9057*211.9*10^(-9)</f>
        <v>0</v>
      </c>
      <c r="P1134" s="337">
        <f>CompletedProjects[[#This Row],[Annual Emissions (MMTCO2)]]*40</f>
        <v>0</v>
      </c>
      <c r="Q1134" s="169"/>
      <c r="R1134" s="185"/>
      <c r="S1134" s="181"/>
      <c r="T1134" s="185"/>
    </row>
    <row r="1135" spans="1:20" customFormat="1" ht="57.35">
      <c r="A1135" s="167" t="s">
        <v>190</v>
      </c>
      <c r="B1135" s="167" t="s">
        <v>519</v>
      </c>
      <c r="C1135" s="194" t="s">
        <v>464</v>
      </c>
      <c r="D1135" s="172">
        <f>200000000*'Dev Bank Share by Country'!$K$183</f>
        <v>4090000</v>
      </c>
      <c r="E1135" s="173" t="s">
        <v>413</v>
      </c>
      <c r="F1135" s="173" t="s">
        <v>523</v>
      </c>
      <c r="G1135" s="262"/>
      <c r="H1135" s="173" t="s">
        <v>95</v>
      </c>
      <c r="I1135" s="180" t="s">
        <v>283</v>
      </c>
      <c r="J1135" s="173" t="s">
        <v>277</v>
      </c>
      <c r="K1135" s="241">
        <v>39554</v>
      </c>
      <c r="L1135" s="167" t="s">
        <v>1319</v>
      </c>
      <c r="M1135" s="262"/>
      <c r="N1135" s="256">
        <f>600/13/2</f>
        <v>23.076923076923077</v>
      </c>
      <c r="O1135" s="461">
        <f>CompletedProjects[[#This Row],[Power Plant Size (MW) or Share]]*0.593*9057*211.9*10^(-9)</f>
        <v>2.6263216890000003E-2</v>
      </c>
      <c r="P1135" s="337">
        <f>CompletedProjects[[#This Row],[Annual Emissions (MMTCO2)]]*40</f>
        <v>1.0505286756000001</v>
      </c>
      <c r="Q1135" s="203"/>
      <c r="R1135" s="167" t="s">
        <v>641</v>
      </c>
      <c r="S1135" s="167"/>
      <c r="T1135" s="167"/>
    </row>
    <row r="1136" spans="1:20" customFormat="1" ht="43">
      <c r="A1136" s="167" t="s">
        <v>190</v>
      </c>
      <c r="B1136" s="167" t="s">
        <v>519</v>
      </c>
      <c r="C1136" s="194" t="s">
        <v>464</v>
      </c>
      <c r="D1136" s="172">
        <f>27860000*'Dev Bank Share by Country'!$K$183</f>
        <v>569737</v>
      </c>
      <c r="E1136" s="173" t="s">
        <v>520</v>
      </c>
      <c r="F1136" s="173" t="s">
        <v>521</v>
      </c>
      <c r="G1136" s="262"/>
      <c r="H1136" s="173" t="s">
        <v>63</v>
      </c>
      <c r="I1136" s="180" t="s">
        <v>283</v>
      </c>
      <c r="J1136" s="173" t="s">
        <v>26</v>
      </c>
      <c r="K1136" s="241">
        <v>39357</v>
      </c>
      <c r="L1136" s="167" t="s">
        <v>1320</v>
      </c>
      <c r="M1136" s="262"/>
      <c r="N1136" s="256">
        <f>1080/13</f>
        <v>83.07692307692308</v>
      </c>
      <c r="O1136" s="461">
        <f>CompletedProjects[[#This Row],[Power Plant Size (MW) or Share]]*0.593*9057*211.9*10^(-9)</f>
        <v>9.4547580804000012E-2</v>
      </c>
      <c r="P1136" s="337">
        <f>CompletedProjects[[#This Row],[Annual Emissions (MMTCO2)]]*40</f>
        <v>3.7819032321600003</v>
      </c>
      <c r="Q1136" s="203"/>
      <c r="R1136" s="167" t="s">
        <v>522</v>
      </c>
      <c r="S1136" s="167"/>
      <c r="T1136" s="167"/>
    </row>
    <row r="1137" spans="1:20" customFormat="1" ht="43">
      <c r="A1137" s="224" t="s">
        <v>190</v>
      </c>
      <c r="B1137" s="225" t="s">
        <v>1036</v>
      </c>
      <c r="C1137" s="225" t="s">
        <v>337</v>
      </c>
      <c r="D1137" s="172">
        <v>101670000</v>
      </c>
      <c r="E1137" s="197" t="s">
        <v>1458</v>
      </c>
      <c r="F1137" s="197" t="s">
        <v>1459</v>
      </c>
      <c r="G1137" s="268" t="s">
        <v>1460</v>
      </c>
      <c r="H1137" s="197" t="s">
        <v>208</v>
      </c>
      <c r="I1137" s="173" t="s">
        <v>40</v>
      </c>
      <c r="J1137" s="197" t="s">
        <v>1452</v>
      </c>
      <c r="K1137" s="243">
        <v>39777</v>
      </c>
      <c r="L1137" s="197" t="s">
        <v>1461</v>
      </c>
      <c r="M1137" s="268"/>
      <c r="N1137" s="339"/>
      <c r="O1137" s="461">
        <f>CompletedProjects[[#This Row],[Power Plant Size (MW) or Share]]*0.593*9057*211.9*10^(-9)</f>
        <v>0</v>
      </c>
      <c r="P1137" s="337">
        <f>CompletedProjects[[#This Row],[Annual Emissions (MMTCO2)]]*40</f>
        <v>0</v>
      </c>
      <c r="Q1137" s="226"/>
      <c r="R1137" s="227"/>
      <c r="S1137" s="224"/>
      <c r="T1137" s="227"/>
    </row>
    <row r="1138" spans="1:20" customFormat="1" ht="114.7">
      <c r="A1138" s="167" t="s">
        <v>190</v>
      </c>
      <c r="B1138" s="171" t="s">
        <v>559</v>
      </c>
      <c r="C1138" s="171" t="s">
        <v>464</v>
      </c>
      <c r="D1138" s="172">
        <v>18425663.35256977</v>
      </c>
      <c r="E1138" s="173" t="s">
        <v>560</v>
      </c>
      <c r="F1138" s="173" t="s">
        <v>561</v>
      </c>
      <c r="G1138" s="262" t="s">
        <v>790</v>
      </c>
      <c r="H1138" s="173" t="s">
        <v>56</v>
      </c>
      <c r="I1138" s="173" t="s">
        <v>284</v>
      </c>
      <c r="J1138" s="173" t="s">
        <v>79</v>
      </c>
      <c r="K1138" s="240">
        <v>42278</v>
      </c>
      <c r="L1138" s="173" t="s">
        <v>865</v>
      </c>
      <c r="M1138" s="262" t="s">
        <v>866</v>
      </c>
      <c r="N1138" s="337"/>
      <c r="O1138" s="461">
        <f>CompletedProjects[[#This Row],[Power Plant Size (MW) or Share]]*0.593*9057*211.9*10^(-9)</f>
        <v>0</v>
      </c>
      <c r="P1138" s="337">
        <f>CompletedProjects[[#This Row],[Annual Emissions (MMTCO2)]]*40</f>
        <v>0</v>
      </c>
      <c r="Q1138" s="176"/>
      <c r="R1138" s="178"/>
      <c r="S1138" s="167"/>
      <c r="T1138" s="178"/>
    </row>
    <row r="1139" spans="1:20" customFormat="1" ht="28.7">
      <c r="A1139" s="183" t="s">
        <v>190</v>
      </c>
      <c r="B1139" s="183" t="s">
        <v>508</v>
      </c>
      <c r="C1139" s="183" t="s">
        <v>464</v>
      </c>
      <c r="D1139" s="172">
        <f>147000000*'Dev Bank Share by Country'!$O$183</f>
        <v>1415126.451936122</v>
      </c>
      <c r="E1139" s="173" t="s">
        <v>471</v>
      </c>
      <c r="F1139" s="173" t="s">
        <v>472</v>
      </c>
      <c r="G1139" s="262" t="s">
        <v>930</v>
      </c>
      <c r="H1139" s="173" t="s">
        <v>473</v>
      </c>
      <c r="I1139" s="180" t="s">
        <v>283</v>
      </c>
      <c r="J1139" s="173" t="s">
        <v>26</v>
      </c>
      <c r="K1139" s="241">
        <v>39892</v>
      </c>
      <c r="L1139" s="197"/>
      <c r="M1139" s="262"/>
      <c r="N1139" s="150">
        <f>720/12</f>
        <v>60</v>
      </c>
      <c r="O1139" s="461">
        <f>CompletedProjects[[#This Row],[Power Plant Size (MW) or Share]]*0.593*9057*211.9*10^(-9)</f>
        <v>6.8284363914000015E-2</v>
      </c>
      <c r="P1139" s="337">
        <f>CompletedProjects[[#This Row],[Annual Emissions (MMTCO2)]]*40</f>
        <v>2.7313745565600005</v>
      </c>
      <c r="Q1139" s="203"/>
      <c r="R1139" s="173"/>
      <c r="S1139" s="167"/>
      <c r="T1139" s="173"/>
    </row>
    <row r="1140" spans="1:20" customFormat="1" ht="43">
      <c r="A1140" s="183" t="s">
        <v>190</v>
      </c>
      <c r="B1140" s="183" t="s">
        <v>508</v>
      </c>
      <c r="C1140" s="183" t="s">
        <v>464</v>
      </c>
      <c r="D1140" s="172">
        <f>50000000*'Dev Bank Share by Country'!$O$183</f>
        <v>481335.52786942926</v>
      </c>
      <c r="E1140" s="173" t="s">
        <v>475</v>
      </c>
      <c r="F1140" s="173" t="s">
        <v>476</v>
      </c>
      <c r="G1140" s="262" t="s">
        <v>931</v>
      </c>
      <c r="H1140" s="173" t="s">
        <v>473</v>
      </c>
      <c r="I1140" s="180" t="s">
        <v>283</v>
      </c>
      <c r="J1140" s="173" t="s">
        <v>26</v>
      </c>
      <c r="K1140" s="241">
        <v>39892</v>
      </c>
      <c r="L1140" s="197"/>
      <c r="M1140" s="262"/>
      <c r="N1140" s="462">
        <f>360/12</f>
        <v>30</v>
      </c>
      <c r="O1140" s="461">
        <f>CompletedProjects[[#This Row],[Power Plant Size (MW) or Share]]*0.593*9057*211.9*10^(-9)</f>
        <v>3.4142181957000008E-2</v>
      </c>
      <c r="P1140" s="337">
        <f>CompletedProjects[[#This Row],[Annual Emissions (MMTCO2)]]*40</f>
        <v>1.3656872782800002</v>
      </c>
      <c r="Q1140" s="203"/>
      <c r="R1140" s="173"/>
      <c r="S1140" s="167"/>
      <c r="T1140" s="173"/>
    </row>
    <row r="1141" spans="1:20" customFormat="1" ht="86">
      <c r="A1141" s="167" t="s">
        <v>190</v>
      </c>
      <c r="B1141" s="167" t="s">
        <v>511</v>
      </c>
      <c r="C1141" s="167" t="s">
        <v>464</v>
      </c>
      <c r="D1141" s="172">
        <f>8000000*'Dev Bank Share by Country'!$G$183</f>
        <v>377259.2318660366</v>
      </c>
      <c r="E1141" s="173" t="s">
        <v>405</v>
      </c>
      <c r="F1141" s="173" t="s">
        <v>406</v>
      </c>
      <c r="G1141" s="262" t="s">
        <v>786</v>
      </c>
      <c r="H1141" s="173" t="s">
        <v>65</v>
      </c>
      <c r="I1141" s="180" t="s">
        <v>283</v>
      </c>
      <c r="J1141" s="173" t="s">
        <v>26</v>
      </c>
      <c r="K1141" s="241">
        <v>39234</v>
      </c>
      <c r="L1141" s="173" t="s">
        <v>815</v>
      </c>
      <c r="M1141" s="262" t="s">
        <v>806</v>
      </c>
      <c r="N1141" s="256">
        <f>600/19</f>
        <v>31.578947368421051</v>
      </c>
      <c r="O1141" s="461">
        <f>CompletedProjects[[#This Row],[Power Plant Size (MW) or Share]]*0.593*9057*211.9*10^(-9)</f>
        <v>3.5939138902105268E-2</v>
      </c>
      <c r="P1141" s="337">
        <f>CompletedProjects[[#This Row],[Annual Emissions (MMTCO2)]]*40</f>
        <v>1.4375655560842107</v>
      </c>
      <c r="Q1141" s="167"/>
      <c r="R1141" s="167" t="s">
        <v>467</v>
      </c>
      <c r="S1141" s="167" t="s">
        <v>633</v>
      </c>
      <c r="T1141" s="167"/>
    </row>
    <row r="1142" spans="1:20" customFormat="1" ht="57.35">
      <c r="A1142" s="167" t="s">
        <v>190</v>
      </c>
      <c r="B1142" s="167" t="s">
        <v>477</v>
      </c>
      <c r="C1142" s="167" t="s">
        <v>464</v>
      </c>
      <c r="D1142" s="172">
        <v>18466471.640521713</v>
      </c>
      <c r="E1142" s="173" t="s">
        <v>485</v>
      </c>
      <c r="F1142" s="173" t="s">
        <v>486</v>
      </c>
      <c r="G1142" s="262" t="s">
        <v>936</v>
      </c>
      <c r="H1142" s="173" t="s">
        <v>70</v>
      </c>
      <c r="I1142" s="180" t="s">
        <v>244</v>
      </c>
      <c r="J1142" s="173" t="s">
        <v>589</v>
      </c>
      <c r="K1142" s="241">
        <v>39436</v>
      </c>
      <c r="L1142" s="173"/>
      <c r="M1142" s="262"/>
      <c r="N1142" s="150">
        <f>1600/4</f>
        <v>400</v>
      </c>
      <c r="O1142" s="461">
        <f>CompletedProjects[[#This Row],[Power Plant Size (MW) or Share]]*0.593*9057*211.9*10^(-9)</f>
        <v>0.45522909276000001</v>
      </c>
      <c r="P1142" s="337">
        <f>CompletedProjects[[#This Row],[Annual Emissions (MMTCO2)]]*40</f>
        <v>18.209163710399999</v>
      </c>
      <c r="Q1142" s="203"/>
      <c r="R1142" s="167" t="s">
        <v>487</v>
      </c>
      <c r="S1142" s="167"/>
      <c r="T1142" s="167"/>
    </row>
    <row r="1143" spans="1:20" customFormat="1" ht="43">
      <c r="A1143" s="167" t="s">
        <v>190</v>
      </c>
      <c r="B1143" s="171" t="s">
        <v>559</v>
      </c>
      <c r="C1143" s="171" t="s">
        <v>464</v>
      </c>
      <c r="D1143" s="172">
        <v>3109330.6907461486</v>
      </c>
      <c r="E1143" s="173" t="s">
        <v>608</v>
      </c>
      <c r="F1143" s="173" t="s">
        <v>609</v>
      </c>
      <c r="G1143" s="262" t="s">
        <v>803</v>
      </c>
      <c r="H1143" s="173" t="s">
        <v>368</v>
      </c>
      <c r="I1143" s="180" t="s">
        <v>284</v>
      </c>
      <c r="J1143" s="180" t="s">
        <v>284</v>
      </c>
      <c r="K1143" s="240">
        <v>40869</v>
      </c>
      <c r="L1143" s="173" t="s">
        <v>1694</v>
      </c>
      <c r="M1143" s="262"/>
      <c r="N1143" s="337"/>
      <c r="O1143" s="461">
        <f>CompletedProjects[[#This Row],[Power Plant Size (MW) or Share]]*0.593*9057*211.9*10^(-9)</f>
        <v>0</v>
      </c>
      <c r="P1143" s="337">
        <f>CompletedProjects[[#This Row],[Annual Emissions (MMTCO2)]]*40</f>
        <v>0</v>
      </c>
      <c r="Q1143" s="176"/>
      <c r="R1143" s="178"/>
      <c r="S1143" s="167"/>
      <c r="T1143" s="178"/>
    </row>
    <row r="1144" spans="1:20" customFormat="1" ht="71.7">
      <c r="A1144" s="167" t="s">
        <v>190</v>
      </c>
      <c r="B1144" s="186" t="s">
        <v>519</v>
      </c>
      <c r="C1144" s="186" t="s">
        <v>464</v>
      </c>
      <c r="D1144" s="172">
        <f>902850000*'Dev Bank Share by Country'!$K$183</f>
        <v>18463282.5</v>
      </c>
      <c r="E1144" s="173" t="s">
        <v>91</v>
      </c>
      <c r="F1144" s="173" t="s">
        <v>536</v>
      </c>
      <c r="G1144" s="262"/>
      <c r="H1144" s="173" t="s">
        <v>63</v>
      </c>
      <c r="I1144" s="180" t="s">
        <v>283</v>
      </c>
      <c r="J1144" s="173" t="s">
        <v>26</v>
      </c>
      <c r="K1144" s="241">
        <v>40168</v>
      </c>
      <c r="L1144" s="173" t="s">
        <v>1323</v>
      </c>
      <c r="M1144" s="262"/>
      <c r="N1144" s="337"/>
      <c r="O1144" s="461">
        <f>CompletedProjects[[#This Row],[Power Plant Size (MW) or Share]]*0.593*9057*211.9*10^(-9)</f>
        <v>0</v>
      </c>
      <c r="P1144" s="337">
        <f>CompletedProjects[[#This Row],[Annual Emissions (MMTCO2)]]*40</f>
        <v>0</v>
      </c>
      <c r="Q1144" s="176"/>
      <c r="R1144" s="178" t="s">
        <v>537</v>
      </c>
      <c r="S1144" s="167"/>
      <c r="T1144" s="178"/>
    </row>
    <row r="1145" spans="1:20" customFormat="1" ht="114.7">
      <c r="A1145" s="167" t="s">
        <v>190</v>
      </c>
      <c r="B1145" s="167" t="s">
        <v>511</v>
      </c>
      <c r="C1145" s="167" t="s">
        <v>464</v>
      </c>
      <c r="D1145" s="172">
        <f>275000000*'Dev Bank Share by Country'!$G$183</f>
        <v>12968286.095395008</v>
      </c>
      <c r="E1145" s="173" t="s">
        <v>413</v>
      </c>
      <c r="F1145" s="173" t="s">
        <v>413</v>
      </c>
      <c r="G1145" s="262" t="s">
        <v>766</v>
      </c>
      <c r="H1145" s="173" t="s">
        <v>95</v>
      </c>
      <c r="I1145" s="180" t="s">
        <v>283</v>
      </c>
      <c r="J1145" s="173" t="s">
        <v>277</v>
      </c>
      <c r="K1145" s="241">
        <v>39394</v>
      </c>
      <c r="L1145" s="173" t="s">
        <v>917</v>
      </c>
      <c r="M1145" s="262"/>
      <c r="N1145" s="256">
        <f>600/7/2</f>
        <v>42.857142857142854</v>
      </c>
      <c r="O1145" s="461">
        <f>CompletedProjects[[#This Row],[Power Plant Size (MW) or Share]]*0.593*9057*211.9*10^(-9)</f>
        <v>4.8774545652857132E-2</v>
      </c>
      <c r="P1145" s="337">
        <f>CompletedProjects[[#This Row],[Annual Emissions (MMTCO2)]]*40</f>
        <v>1.9509818261142853</v>
      </c>
      <c r="Q1145" s="167"/>
      <c r="R1145" s="167" t="s">
        <v>640</v>
      </c>
      <c r="S1145" s="167" t="s">
        <v>465</v>
      </c>
      <c r="T1145" s="167"/>
    </row>
    <row r="1146" spans="1:20" customFormat="1" ht="28.7">
      <c r="A1146" s="173" t="s">
        <v>190</v>
      </c>
      <c r="B1146" s="173" t="s">
        <v>509</v>
      </c>
      <c r="C1146" s="173" t="s">
        <v>464</v>
      </c>
      <c r="D1146" s="172">
        <v>2295092.8849862325</v>
      </c>
      <c r="E1146" s="173" t="s">
        <v>429</v>
      </c>
      <c r="F1146" s="173" t="s">
        <v>430</v>
      </c>
      <c r="G1146" s="262" t="s">
        <v>928</v>
      </c>
      <c r="H1146" s="173" t="s">
        <v>431</v>
      </c>
      <c r="I1146" s="180" t="s">
        <v>283</v>
      </c>
      <c r="J1146" s="173" t="s">
        <v>26</v>
      </c>
      <c r="K1146" s="241">
        <v>40114</v>
      </c>
      <c r="L1146" s="173"/>
      <c r="M1146" s="262"/>
      <c r="N1146" s="337">
        <f>600/15/2</f>
        <v>20</v>
      </c>
      <c r="O1146" s="461">
        <f>CompletedProjects[[#This Row],[Power Plant Size (MW) or Share]]*0.593*9057*211.9*10^(-9)</f>
        <v>2.2761454637999997E-2</v>
      </c>
      <c r="P1146" s="337">
        <f>CompletedProjects[[#This Row],[Annual Emissions (MMTCO2)]]*40</f>
        <v>0.91045818551999991</v>
      </c>
      <c r="Q1146" s="176"/>
      <c r="R1146" s="178" t="s">
        <v>467</v>
      </c>
      <c r="S1146" s="167"/>
      <c r="T1146" s="178"/>
    </row>
    <row r="1147" spans="1:20" customFormat="1" ht="28.7">
      <c r="A1147" s="167" t="s">
        <v>190</v>
      </c>
      <c r="B1147" s="171" t="s">
        <v>509</v>
      </c>
      <c r="C1147" s="171" t="s">
        <v>464</v>
      </c>
      <c r="D1147" s="172">
        <v>46373857.266880117</v>
      </c>
      <c r="E1147" s="173" t="s">
        <v>41</v>
      </c>
      <c r="F1147" s="173" t="s">
        <v>468</v>
      </c>
      <c r="G1147" s="262" t="s">
        <v>927</v>
      </c>
      <c r="H1147" s="173" t="s">
        <v>25</v>
      </c>
      <c r="I1147" s="180" t="s">
        <v>283</v>
      </c>
      <c r="J1147" s="173" t="s">
        <v>26</v>
      </c>
      <c r="K1147" s="241">
        <v>40142</v>
      </c>
      <c r="L1147" s="173"/>
      <c r="M1147" s="262"/>
      <c r="N1147" s="337">
        <f>4800/15/2</f>
        <v>160</v>
      </c>
      <c r="O1147" s="461">
        <f>CompletedProjects[[#This Row],[Power Plant Size (MW) or Share]]*0.593*9057*211.9*10^(-9)</f>
        <v>0.18209163710399998</v>
      </c>
      <c r="P1147" s="337">
        <f>CompletedProjects[[#This Row],[Annual Emissions (MMTCO2)]]*40</f>
        <v>7.2836654841599993</v>
      </c>
      <c r="Q1147" s="176"/>
      <c r="R1147" s="178" t="s">
        <v>642</v>
      </c>
      <c r="S1147" s="167"/>
      <c r="T1147" s="178"/>
    </row>
    <row r="1148" spans="1:20" customFormat="1" ht="43">
      <c r="A1148" s="167" t="s">
        <v>190</v>
      </c>
      <c r="B1148" s="171" t="s">
        <v>509</v>
      </c>
      <c r="C1148" s="171" t="s">
        <v>464</v>
      </c>
      <c r="D1148" s="172">
        <v>1453397.8166947162</v>
      </c>
      <c r="E1148" s="173" t="s">
        <v>469</v>
      </c>
      <c r="F1148" s="173" t="s">
        <v>516</v>
      </c>
      <c r="G1148" s="262" t="s">
        <v>929</v>
      </c>
      <c r="H1148" s="173" t="s">
        <v>458</v>
      </c>
      <c r="I1148" s="180" t="s">
        <v>283</v>
      </c>
      <c r="J1148" s="173" t="s">
        <v>26</v>
      </c>
      <c r="K1148" s="241">
        <v>40142</v>
      </c>
      <c r="L1148" s="173"/>
      <c r="M1148" s="262"/>
      <c r="N1148" s="150">
        <f>125/15</f>
        <v>8.3333333333333339</v>
      </c>
      <c r="O1148" s="461">
        <f>CompletedProjects[[#This Row],[Power Plant Size (MW) or Share]]*0.593*9057*211.9*10^(-9)</f>
        <v>9.4839394324999996E-3</v>
      </c>
      <c r="P1148" s="337">
        <f>CompletedProjects[[#This Row],[Annual Emissions (MMTCO2)]]*40</f>
        <v>0.37935757729999997</v>
      </c>
      <c r="Q1148" s="203"/>
      <c r="R1148" s="167" t="s">
        <v>470</v>
      </c>
      <c r="S1148" s="167"/>
      <c r="T1148" s="167" t="s">
        <v>537</v>
      </c>
    </row>
    <row r="1149" spans="1:20" customFormat="1" ht="57.35">
      <c r="A1149" s="181" t="s">
        <v>190</v>
      </c>
      <c r="B1149" s="182" t="s">
        <v>519</v>
      </c>
      <c r="C1149" s="182" t="s">
        <v>464</v>
      </c>
      <c r="D1149" s="172">
        <f>450000000*'Dev Bank Share by Country'!$K$183</f>
        <v>9202500</v>
      </c>
      <c r="E1149" s="183" t="s">
        <v>1395</v>
      </c>
      <c r="F1149" s="183" t="s">
        <v>1393</v>
      </c>
      <c r="G1149" s="262" t="s">
        <v>1394</v>
      </c>
      <c r="H1149" s="183" t="s">
        <v>65</v>
      </c>
      <c r="I1149" s="180" t="s">
        <v>283</v>
      </c>
      <c r="J1149" s="183" t="s">
        <v>26</v>
      </c>
      <c r="K1149" s="242">
        <v>39562</v>
      </c>
      <c r="L1149" s="173" t="s">
        <v>525</v>
      </c>
      <c r="M1149" s="262" t="s">
        <v>821</v>
      </c>
      <c r="N1149" s="337">
        <f>4000/3/13</f>
        <v>102.56410256410255</v>
      </c>
      <c r="O1149" s="461">
        <f>CompletedProjects[[#This Row],[Power Plant Size (MW) or Share]]*0.593*9057*211.9*10^(-9)</f>
        <v>0.11672540839999998</v>
      </c>
      <c r="P1149" s="337">
        <f>CompletedProjects[[#This Row],[Annual Emissions (MMTCO2)]]*40</f>
        <v>4.6690163359999994</v>
      </c>
      <c r="Q1149" s="169"/>
      <c r="R1149" s="173" t="s">
        <v>1396</v>
      </c>
      <c r="S1149" s="181"/>
      <c r="T1149" s="173"/>
    </row>
    <row r="1150" spans="1:20" customFormat="1" ht="57.35">
      <c r="A1150" s="167" t="s">
        <v>190</v>
      </c>
      <c r="B1150" s="186" t="s">
        <v>519</v>
      </c>
      <c r="C1150" s="186" t="s">
        <v>464</v>
      </c>
      <c r="D1150" s="172"/>
      <c r="E1150" s="173" t="s">
        <v>526</v>
      </c>
      <c r="F1150" s="173" t="s">
        <v>527</v>
      </c>
      <c r="G1150" s="174" t="s">
        <v>901</v>
      </c>
      <c r="H1150" s="173" t="s">
        <v>95</v>
      </c>
      <c r="I1150" s="180" t="s">
        <v>283</v>
      </c>
      <c r="J1150" s="173" t="s">
        <v>277</v>
      </c>
      <c r="K1150" s="241">
        <v>39601</v>
      </c>
      <c r="L1150" s="172">
        <f>120000000*'Dev Bank Share by Country'!$K$183</f>
        <v>2454000</v>
      </c>
      <c r="M1150" s="450"/>
      <c r="N1150" s="337"/>
      <c r="O1150" s="461">
        <f>CompletedProjects[[#This Row],[Power Plant Size (MW) or Share]]*0.593*9057*211.9*10^(-9)</f>
        <v>0</v>
      </c>
      <c r="P1150" s="337">
        <f>CompletedProjects[[#This Row],[Annual Emissions (MMTCO2)]]*40</f>
        <v>0</v>
      </c>
      <c r="Q1150" s="176"/>
      <c r="R1150" s="178" t="s">
        <v>1321</v>
      </c>
      <c r="S1150" s="167" t="s">
        <v>1688</v>
      </c>
      <c r="T1150" s="178"/>
    </row>
    <row r="1151" spans="1:20" customFormat="1" ht="71.7">
      <c r="A1151" s="167" t="s">
        <v>190</v>
      </c>
      <c r="B1151" s="173" t="s">
        <v>1036</v>
      </c>
      <c r="C1151" s="171" t="s">
        <v>337</v>
      </c>
      <c r="D1151" s="172">
        <v>94120000</v>
      </c>
      <c r="E1151" s="173" t="s">
        <v>1039</v>
      </c>
      <c r="F1151" s="173" t="s">
        <v>1040</v>
      </c>
      <c r="G1151" s="262" t="s">
        <v>1047</v>
      </c>
      <c r="H1151" s="173" t="s">
        <v>11</v>
      </c>
      <c r="I1151" s="180" t="s">
        <v>283</v>
      </c>
      <c r="J1151" s="173" t="s">
        <v>1499</v>
      </c>
      <c r="K1151" s="240">
        <v>40199</v>
      </c>
      <c r="L1151" s="173" t="s">
        <v>1051</v>
      </c>
      <c r="M1151" s="262"/>
      <c r="N1151" s="337"/>
      <c r="O1151" s="461">
        <f>CompletedProjects[[#This Row],[Power Plant Size (MW) or Share]]*0.593*9057*211.9*10^(-9)</f>
        <v>0</v>
      </c>
      <c r="P1151" s="337">
        <f>CompletedProjects[[#This Row],[Annual Emissions (MMTCO2)]]*40</f>
        <v>0</v>
      </c>
      <c r="Q1151" s="176"/>
      <c r="R1151" s="178"/>
      <c r="S1151" s="167"/>
      <c r="T1151" s="178"/>
    </row>
    <row r="1152" spans="1:20" customFormat="1" ht="43">
      <c r="A1152" s="181" t="s">
        <v>190</v>
      </c>
      <c r="B1152" s="182" t="s">
        <v>559</v>
      </c>
      <c r="C1152" s="182" t="s">
        <v>464</v>
      </c>
      <c r="D1152" s="172">
        <v>2690146.8494751859</v>
      </c>
      <c r="E1152" s="173" t="s">
        <v>588</v>
      </c>
      <c r="F1152" s="173" t="s">
        <v>588</v>
      </c>
      <c r="G1152" s="265" t="s">
        <v>793</v>
      </c>
      <c r="H1152" s="173" t="s">
        <v>201</v>
      </c>
      <c r="I1152" s="173" t="s">
        <v>40</v>
      </c>
      <c r="J1152" s="173" t="s">
        <v>40</v>
      </c>
      <c r="K1152" s="240">
        <v>39422</v>
      </c>
      <c r="L1152" s="167" t="s">
        <v>905</v>
      </c>
      <c r="M1152" s="262"/>
      <c r="N1152" s="337"/>
      <c r="O1152" s="461">
        <f>CompletedProjects[[#This Row],[Power Plant Size (MW) or Share]]*0.593*9057*211.9*10^(-9)</f>
        <v>0</v>
      </c>
      <c r="P1152" s="337">
        <f>CompletedProjects[[#This Row],[Annual Emissions (MMTCO2)]]*40</f>
        <v>0</v>
      </c>
      <c r="Q1152" s="176"/>
      <c r="R1152" s="178" t="s">
        <v>537</v>
      </c>
      <c r="S1152" s="167"/>
      <c r="T1152" s="178"/>
    </row>
    <row r="1153" spans="1:20" customFormat="1" ht="43">
      <c r="A1153" s="167" t="s">
        <v>190</v>
      </c>
      <c r="B1153" s="167" t="s">
        <v>477</v>
      </c>
      <c r="C1153" s="194" t="s">
        <v>464</v>
      </c>
      <c r="D1153" s="172">
        <v>13723740.742281655</v>
      </c>
      <c r="E1153" s="173" t="s">
        <v>495</v>
      </c>
      <c r="F1153" s="173" t="s">
        <v>496</v>
      </c>
      <c r="G1153" s="262" t="s">
        <v>941</v>
      </c>
      <c r="H1153" s="173" t="s">
        <v>493</v>
      </c>
      <c r="I1153" s="180" t="s">
        <v>283</v>
      </c>
      <c r="J1153" s="173" t="s">
        <v>26</v>
      </c>
      <c r="K1153" s="241">
        <v>40218</v>
      </c>
      <c r="L1153" s="173"/>
      <c r="M1153" s="262" t="s">
        <v>942</v>
      </c>
      <c r="N1153" s="256">
        <f>(36+165)/4</f>
        <v>50.25</v>
      </c>
      <c r="O1153" s="461">
        <f>CompletedProjects[[#This Row],[Power Plant Size (MW) or Share]]*0.593*9057*211.9*10^(-9)</f>
        <v>5.7188154777975002E-2</v>
      </c>
      <c r="P1153" s="337">
        <f>CompletedProjects[[#This Row],[Annual Emissions (MMTCO2)]]*40</f>
        <v>2.2875261911189999</v>
      </c>
      <c r="Q1153" s="204"/>
      <c r="R1153" s="167" t="s">
        <v>497</v>
      </c>
      <c r="S1153" s="167"/>
      <c r="T1153" s="167"/>
    </row>
    <row r="1154" spans="1:20" customFormat="1" ht="172">
      <c r="A1154" s="167" t="s">
        <v>190</v>
      </c>
      <c r="B1154" s="167" t="s">
        <v>512</v>
      </c>
      <c r="C1154" s="167" t="s">
        <v>464</v>
      </c>
      <c r="D1154" s="172">
        <f>11250000*'Dev Bank Share by Country'!$E$183</f>
        <v>681106.67699516367</v>
      </c>
      <c r="E1154" s="173" t="s">
        <v>270</v>
      </c>
      <c r="F1154" s="173" t="s">
        <v>433</v>
      </c>
      <c r="G1154" s="262" t="s">
        <v>767</v>
      </c>
      <c r="H1154" s="173" t="s">
        <v>201</v>
      </c>
      <c r="I1154" s="173" t="s">
        <v>40</v>
      </c>
      <c r="J1154" s="173" t="s">
        <v>417</v>
      </c>
      <c r="K1154" s="241">
        <v>40673</v>
      </c>
      <c r="L1154" s="173" t="s">
        <v>828</v>
      </c>
      <c r="M1154" s="273" t="s">
        <v>827</v>
      </c>
      <c r="N1154" s="256"/>
      <c r="O1154" s="461">
        <f>CompletedProjects[[#This Row],[Power Plant Size (MW) or Share]]*0.593*9057*211.9*10^(-9)</f>
        <v>0</v>
      </c>
      <c r="P1154" s="337">
        <f>CompletedProjects[[#This Row],[Annual Emissions (MMTCO2)]]*40</f>
        <v>0</v>
      </c>
      <c r="Q1154" s="167"/>
      <c r="R1154" s="167" t="s">
        <v>400</v>
      </c>
      <c r="S1154" s="167" t="s">
        <v>465</v>
      </c>
      <c r="T1154" s="167"/>
    </row>
    <row r="1155" spans="1:20" customFormat="1" ht="28.7">
      <c r="A1155" s="167" t="s">
        <v>190</v>
      </c>
      <c r="B1155" s="167" t="s">
        <v>477</v>
      </c>
      <c r="C1155" s="194" t="s">
        <v>464</v>
      </c>
      <c r="D1155" s="172">
        <v>14325511.997638566</v>
      </c>
      <c r="E1155" s="173" t="s">
        <v>501</v>
      </c>
      <c r="F1155" s="173" t="s">
        <v>502</v>
      </c>
      <c r="G1155" s="262" t="s">
        <v>944</v>
      </c>
      <c r="H1155" s="173" t="s">
        <v>493</v>
      </c>
      <c r="I1155" s="180" t="s">
        <v>283</v>
      </c>
      <c r="J1155" s="173" t="s">
        <v>26</v>
      </c>
      <c r="K1155" s="241">
        <v>40840</v>
      </c>
      <c r="L1155" s="173"/>
      <c r="M1155" s="262"/>
      <c r="N1155" s="256">
        <f>(50+106)/4</f>
        <v>39</v>
      </c>
      <c r="O1155" s="461">
        <f>CompletedProjects[[#This Row],[Power Plant Size (MW) or Share]]*0.593*9057*211.9*10^(-9)</f>
        <v>4.4384836544100005E-2</v>
      </c>
      <c r="P1155" s="337">
        <f>CompletedProjects[[#This Row],[Annual Emissions (MMTCO2)]]*40</f>
        <v>1.7753934617640001</v>
      </c>
      <c r="Q1155" s="203"/>
      <c r="R1155" s="167" t="s">
        <v>503</v>
      </c>
      <c r="S1155" s="167"/>
      <c r="T1155" s="167"/>
    </row>
    <row r="1156" spans="1:20" customFormat="1" ht="71.7">
      <c r="A1156" s="181" t="s">
        <v>190</v>
      </c>
      <c r="B1156" s="182" t="s">
        <v>559</v>
      </c>
      <c r="C1156" s="182" t="s">
        <v>464</v>
      </c>
      <c r="D1156" s="172">
        <v>7311834.7986874059</v>
      </c>
      <c r="E1156" s="173" t="s">
        <v>591</v>
      </c>
      <c r="F1156" s="173" t="s">
        <v>590</v>
      </c>
      <c r="G1156" s="265" t="s">
        <v>794</v>
      </c>
      <c r="H1156" s="173" t="s">
        <v>45</v>
      </c>
      <c r="I1156" s="180" t="s">
        <v>283</v>
      </c>
      <c r="J1156" s="173" t="s">
        <v>277</v>
      </c>
      <c r="K1156" s="240">
        <v>39553</v>
      </c>
      <c r="L1156" s="173" t="s">
        <v>906</v>
      </c>
      <c r="M1156" s="262"/>
      <c r="N1156" s="337"/>
      <c r="O1156" s="461">
        <f>CompletedProjects[[#This Row],[Power Plant Size (MW) or Share]]*0.593*9057*211.9*10^(-9)</f>
        <v>0</v>
      </c>
      <c r="P1156" s="337">
        <f>CompletedProjects[[#This Row],[Annual Emissions (MMTCO2)]]*40</f>
        <v>0</v>
      </c>
      <c r="Q1156" s="176"/>
      <c r="R1156" s="178"/>
      <c r="S1156" s="167"/>
      <c r="T1156" s="178"/>
    </row>
    <row r="1157" spans="1:20" customFormat="1" ht="57.35">
      <c r="A1157" s="167" t="s">
        <v>190</v>
      </c>
      <c r="B1157" s="171" t="s">
        <v>184</v>
      </c>
      <c r="C1157" s="171" t="s">
        <v>336</v>
      </c>
      <c r="D1157" s="172">
        <v>7409650.2311248071</v>
      </c>
      <c r="E1157" s="173" t="s">
        <v>185</v>
      </c>
      <c r="F1157" s="173" t="s">
        <v>186</v>
      </c>
      <c r="G1157" s="262" t="s">
        <v>761</v>
      </c>
      <c r="H1157" s="173" t="s">
        <v>45</v>
      </c>
      <c r="I1157" s="173" t="s">
        <v>40</v>
      </c>
      <c r="J1157" s="173" t="s">
        <v>40</v>
      </c>
      <c r="K1157" s="240">
        <v>40544</v>
      </c>
      <c r="L1157" s="173" t="s">
        <v>893</v>
      </c>
      <c r="M1157" s="262" t="s">
        <v>892</v>
      </c>
      <c r="N1157" s="337"/>
      <c r="O1157" s="461">
        <f>CompletedProjects[[#This Row],[Power Plant Size (MW) or Share]]*0.593*9057*211.9*10^(-9)</f>
        <v>0</v>
      </c>
      <c r="P1157" s="337">
        <f>CompletedProjects[[#This Row],[Annual Emissions (MMTCO2)]]*40</f>
        <v>0</v>
      </c>
      <c r="Q1157" s="176"/>
      <c r="R1157" s="178"/>
      <c r="S1157" s="167"/>
      <c r="T1157" s="178"/>
    </row>
    <row r="1158" spans="1:20" customFormat="1" ht="43">
      <c r="A1158" s="181" t="s">
        <v>190</v>
      </c>
      <c r="B1158" s="182" t="s">
        <v>559</v>
      </c>
      <c r="C1158" s="182" t="s">
        <v>464</v>
      </c>
      <c r="D1158" s="172"/>
      <c r="E1158" s="173" t="s">
        <v>611</v>
      </c>
      <c r="F1158" s="173" t="s">
        <v>612</v>
      </c>
      <c r="G1158" s="262" t="s">
        <v>804</v>
      </c>
      <c r="H1158" s="173" t="s">
        <v>613</v>
      </c>
      <c r="I1158" s="180" t="s">
        <v>283</v>
      </c>
      <c r="J1158" s="173" t="s">
        <v>277</v>
      </c>
      <c r="K1158" s="240">
        <v>39814</v>
      </c>
      <c r="L1158" s="197"/>
      <c r="M1158" s="262"/>
      <c r="N1158" s="337"/>
      <c r="O1158" s="461">
        <f>CompletedProjects[[#This Row],[Power Plant Size (MW) or Share]]*0.593*9057*211.9*10^(-9)</f>
        <v>0</v>
      </c>
      <c r="P1158" s="337">
        <f>CompletedProjects[[#This Row],[Annual Emissions (MMTCO2)]]*40</f>
        <v>0</v>
      </c>
      <c r="Q1158" s="176"/>
      <c r="R1158" s="173" t="s">
        <v>914</v>
      </c>
      <c r="S1158" s="167" t="s">
        <v>1688</v>
      </c>
      <c r="T1158" s="173"/>
    </row>
    <row r="1159" spans="1:20" customFormat="1" ht="71.7">
      <c r="A1159" s="181" t="s">
        <v>190</v>
      </c>
      <c r="B1159" s="182" t="s">
        <v>559</v>
      </c>
      <c r="C1159" s="182" t="s">
        <v>464</v>
      </c>
      <c r="D1159" s="172">
        <v>4974929.1051938375</v>
      </c>
      <c r="E1159" s="173" t="s">
        <v>604</v>
      </c>
      <c r="F1159" s="173" t="s">
        <v>605</v>
      </c>
      <c r="G1159" s="262" t="s">
        <v>802</v>
      </c>
      <c r="H1159" s="173" t="s">
        <v>493</v>
      </c>
      <c r="I1159" s="180" t="s">
        <v>283</v>
      </c>
      <c r="J1159" s="173" t="s">
        <v>277</v>
      </c>
      <c r="K1159" s="240">
        <v>40589</v>
      </c>
      <c r="L1159" s="173" t="s">
        <v>1693</v>
      </c>
      <c r="M1159" s="262"/>
      <c r="N1159" s="337">
        <f>154/12</f>
        <v>12.833333333333334</v>
      </c>
      <c r="O1159" s="461">
        <f>CompletedProjects[[#This Row],[Power Plant Size (MW) or Share]]*0.593*9057*211.9*10^(-9)</f>
        <v>1.460526672605E-2</v>
      </c>
      <c r="P1159" s="337">
        <f>CompletedProjects[[#This Row],[Annual Emissions (MMTCO2)]]*40</f>
        <v>0.58421066904200003</v>
      </c>
      <c r="Q1159" s="176"/>
      <c r="R1159" s="178" t="s">
        <v>537</v>
      </c>
      <c r="S1159" s="167"/>
      <c r="T1159" s="178"/>
    </row>
    <row r="1160" spans="1:20" customFormat="1" ht="43">
      <c r="A1160" s="181" t="s">
        <v>190</v>
      </c>
      <c r="B1160" s="182" t="s">
        <v>559</v>
      </c>
      <c r="C1160" s="182" t="s">
        <v>464</v>
      </c>
      <c r="D1160" s="172">
        <v>3163317.8843691777</v>
      </c>
      <c r="E1160" s="173" t="s">
        <v>587</v>
      </c>
      <c r="F1160" s="173" t="s">
        <v>587</v>
      </c>
      <c r="G1160" s="262" t="s">
        <v>792</v>
      </c>
      <c r="H1160" s="173" t="s">
        <v>39</v>
      </c>
      <c r="I1160" s="180" t="s">
        <v>283</v>
      </c>
      <c r="J1160" s="173" t="s">
        <v>277</v>
      </c>
      <c r="K1160" s="240">
        <v>39415</v>
      </c>
      <c r="L1160" s="167" t="s">
        <v>904</v>
      </c>
      <c r="M1160" s="262"/>
      <c r="N1160" s="337">
        <f>550/12</f>
        <v>45.833333333333336</v>
      </c>
      <c r="O1160" s="461">
        <f>CompletedProjects[[#This Row],[Power Plant Size (MW) or Share]]*0.593*9057*211.9*10^(-9)</f>
        <v>5.2161666878750006E-2</v>
      </c>
      <c r="P1160" s="337">
        <f>CompletedProjects[[#This Row],[Annual Emissions (MMTCO2)]]*40</f>
        <v>2.0864666751500001</v>
      </c>
      <c r="Q1160" s="176"/>
      <c r="R1160" s="178" t="s">
        <v>537</v>
      </c>
      <c r="S1160" s="167"/>
      <c r="T1160" s="178"/>
    </row>
    <row r="1161" spans="1:20" customFormat="1" ht="100.35">
      <c r="A1161" s="167" t="s">
        <v>190</v>
      </c>
      <c r="B1161" s="173" t="s">
        <v>1036</v>
      </c>
      <c r="C1161" s="171" t="s">
        <v>337</v>
      </c>
      <c r="D1161" s="172">
        <v>432700000</v>
      </c>
      <c r="E1161" s="173" t="s">
        <v>1041</v>
      </c>
      <c r="F1161" s="173" t="s">
        <v>1042</v>
      </c>
      <c r="G1161" s="262" t="s">
        <v>1048</v>
      </c>
      <c r="H1161" s="173" t="s">
        <v>65</v>
      </c>
      <c r="I1161" s="180" t="s">
        <v>283</v>
      </c>
      <c r="J1161" s="188" t="s">
        <v>26</v>
      </c>
      <c r="K1161" s="240">
        <v>40632</v>
      </c>
      <c r="L1161" s="173" t="s">
        <v>1052</v>
      </c>
      <c r="M1161" s="262"/>
      <c r="N1161" s="337">
        <v>900</v>
      </c>
      <c r="O1161" s="461">
        <f>CompletedProjects[[#This Row],[Power Plant Size (MW) or Share]]*0.593*9057*211.9*10^(-9)</f>
        <v>1.02426545871</v>
      </c>
      <c r="P1161" s="337">
        <f>CompletedProjects[[#This Row],[Annual Emissions (MMTCO2)]]*40</f>
        <v>40.970618348399995</v>
      </c>
      <c r="Q1161" s="176"/>
      <c r="R1161" s="178"/>
      <c r="S1161" s="167"/>
      <c r="T1161" s="178"/>
    </row>
    <row r="1162" spans="1:20" customFormat="1" ht="57.35">
      <c r="A1162" s="181" t="s">
        <v>190</v>
      </c>
      <c r="B1162" s="182" t="s">
        <v>445</v>
      </c>
      <c r="C1162" s="182" t="s">
        <v>464</v>
      </c>
      <c r="D1162" s="172">
        <f>450000000*'Dev Bank Share by Country'!$G$183</f>
        <v>21220831.792464558</v>
      </c>
      <c r="E1162" s="183" t="s">
        <v>1395</v>
      </c>
      <c r="F1162" s="183" t="s">
        <v>1393</v>
      </c>
      <c r="G1162" s="267" t="s">
        <v>1394</v>
      </c>
      <c r="H1162" s="183" t="s">
        <v>65</v>
      </c>
      <c r="I1162" s="180" t="s">
        <v>283</v>
      </c>
      <c r="J1162" s="183" t="s">
        <v>26</v>
      </c>
      <c r="K1162" s="242">
        <v>39562</v>
      </c>
      <c r="L1162" s="183" t="s">
        <v>1396</v>
      </c>
      <c r="M1162" s="262" t="s">
        <v>768</v>
      </c>
      <c r="N1162" s="338">
        <f>4000/3/20</f>
        <v>66.666666666666657</v>
      </c>
      <c r="O1162" s="461">
        <f>CompletedProjects[[#This Row],[Power Plant Size (MW) or Share]]*0.593*9057*211.9*10^(-9)</f>
        <v>7.5871515459999983E-2</v>
      </c>
      <c r="P1162" s="337">
        <f>CompletedProjects[[#This Row],[Annual Emissions (MMTCO2)]]*40</f>
        <v>3.0348606183999993</v>
      </c>
      <c r="Q1162" s="169"/>
      <c r="R1162" s="185"/>
      <c r="S1162" s="181"/>
      <c r="T1162" s="185"/>
    </row>
    <row r="1163" spans="1:20" customFormat="1" ht="86">
      <c r="A1163" s="167" t="s">
        <v>190</v>
      </c>
      <c r="B1163" s="186" t="s">
        <v>519</v>
      </c>
      <c r="C1163" s="186" t="s">
        <v>464</v>
      </c>
      <c r="D1163" s="172">
        <f>200000*'Dev Bank Share by Country'!$K$183</f>
        <v>4090</v>
      </c>
      <c r="E1163" s="173" t="s">
        <v>528</v>
      </c>
      <c r="F1163" s="173" t="s">
        <v>529</v>
      </c>
      <c r="G1163" s="262"/>
      <c r="H1163" s="173" t="s">
        <v>239</v>
      </c>
      <c r="I1163" s="180" t="s">
        <v>283</v>
      </c>
      <c r="J1163" s="173" t="s">
        <v>26</v>
      </c>
      <c r="K1163" s="241">
        <v>39729</v>
      </c>
      <c r="L1163" s="183" t="s">
        <v>1709</v>
      </c>
      <c r="M1163" s="262"/>
      <c r="N1163" s="337"/>
      <c r="O1163" s="461">
        <f>CompletedProjects[[#This Row],[Power Plant Size (MW) or Share]]*0.593*9057*211.9*10^(-9)</f>
        <v>0</v>
      </c>
      <c r="P1163" s="337">
        <f>CompletedProjects[[#This Row],[Annual Emissions (MMTCO2)]]*40</f>
        <v>0</v>
      </c>
      <c r="Q1163" s="176"/>
      <c r="R1163" s="178" t="s">
        <v>530</v>
      </c>
      <c r="S1163" s="167"/>
      <c r="T1163" s="178"/>
    </row>
    <row r="1164" spans="1:20" s="146" customFormat="1" ht="28.7">
      <c r="A1164" s="167" t="s">
        <v>190</v>
      </c>
      <c r="B1164" s="167" t="s">
        <v>477</v>
      </c>
      <c r="C1164" s="194" t="s">
        <v>464</v>
      </c>
      <c r="D1164" s="172">
        <v>92899168.101598889</v>
      </c>
      <c r="E1164" s="173" t="s">
        <v>498</v>
      </c>
      <c r="F1164" s="173" t="s">
        <v>499</v>
      </c>
      <c r="G1164" s="262" t="s">
        <v>943</v>
      </c>
      <c r="H1164" s="173" t="s">
        <v>481</v>
      </c>
      <c r="I1164" s="180" t="s">
        <v>283</v>
      </c>
      <c r="J1164" s="173" t="s">
        <v>26</v>
      </c>
      <c r="K1164" s="241">
        <v>40290</v>
      </c>
      <c r="L1164" s="173" t="s">
        <v>500</v>
      </c>
      <c r="M1164" s="262"/>
      <c r="N1164" s="256"/>
      <c r="O1164" s="461">
        <f>CompletedProjects[[#This Row],[Power Plant Size (MW) or Share]]*0.593*9057*211.9*10^(-9)</f>
        <v>0</v>
      </c>
      <c r="P1164" s="337">
        <f>CompletedProjects[[#This Row],[Annual Emissions (MMTCO2)]]*40</f>
        <v>0</v>
      </c>
      <c r="Q1164" s="204"/>
      <c r="R1164" s="167"/>
      <c r="S1164" s="167"/>
      <c r="T1164" s="167"/>
    </row>
    <row r="1165" spans="1:20" customFormat="1" ht="43">
      <c r="A1165" s="167" t="s">
        <v>190</v>
      </c>
      <c r="B1165" s="171" t="s">
        <v>184</v>
      </c>
      <c r="C1165" s="171" t="s">
        <v>336</v>
      </c>
      <c r="D1165" s="172">
        <v>14098904.603035418</v>
      </c>
      <c r="E1165" s="173" t="s">
        <v>185</v>
      </c>
      <c r="F1165" s="173" t="s">
        <v>187</v>
      </c>
      <c r="G1165" s="262" t="s">
        <v>761</v>
      </c>
      <c r="H1165" s="173" t="s">
        <v>45</v>
      </c>
      <c r="I1165" s="173" t="s">
        <v>40</v>
      </c>
      <c r="J1165" s="173" t="s">
        <v>40</v>
      </c>
      <c r="K1165" s="240">
        <v>40844</v>
      </c>
      <c r="L1165" s="173" t="s">
        <v>188</v>
      </c>
      <c r="M1165" s="262" t="s">
        <v>763</v>
      </c>
      <c r="N1165" s="337"/>
      <c r="O1165" s="461">
        <f>CompletedProjects[[#This Row],[Power Plant Size (MW) or Share]]*0.593*9057*211.9*10^(-9)</f>
        <v>0</v>
      </c>
      <c r="P1165" s="337">
        <f>CompletedProjects[[#This Row],[Annual Emissions (MMTCO2)]]*40</f>
        <v>0</v>
      </c>
      <c r="Q1165" s="176"/>
      <c r="R1165" s="178"/>
      <c r="S1165" s="167"/>
      <c r="T1165" s="178"/>
    </row>
    <row r="1166" spans="1:20" customFormat="1" ht="86">
      <c r="A1166" s="167" t="s">
        <v>190</v>
      </c>
      <c r="B1166" s="167" t="s">
        <v>477</v>
      </c>
      <c r="C1166" s="167" t="s">
        <v>464</v>
      </c>
      <c r="D1166" s="172">
        <v>25070873.909512851</v>
      </c>
      <c r="E1166" s="173" t="s">
        <v>480</v>
      </c>
      <c r="F1166" s="173" t="s">
        <v>518</v>
      </c>
      <c r="G1166" s="262" t="s">
        <v>933</v>
      </c>
      <c r="H1166" s="173" t="s">
        <v>481</v>
      </c>
      <c r="I1166" s="180" t="s">
        <v>283</v>
      </c>
      <c r="J1166" s="173" t="s">
        <v>26</v>
      </c>
      <c r="K1166" s="241">
        <v>39352</v>
      </c>
      <c r="L1166" s="173"/>
      <c r="M1166" s="262" t="s">
        <v>934</v>
      </c>
      <c r="N1166" s="150">
        <f>(600+120)/4</f>
        <v>180</v>
      </c>
      <c r="O1166" s="461">
        <f>CompletedProjects[[#This Row],[Power Plant Size (MW) or Share]]*0.593*9057*211.9*10^(-9)</f>
        <v>0.204853091742</v>
      </c>
      <c r="P1166" s="337">
        <f>CompletedProjects[[#This Row],[Annual Emissions (MMTCO2)]]*40</f>
        <v>8.1941236696799997</v>
      </c>
      <c r="Q1166" s="203"/>
      <c r="R1166" s="167" t="s">
        <v>474</v>
      </c>
      <c r="S1166" s="167"/>
      <c r="T1166" s="167"/>
    </row>
    <row r="1167" spans="1:20" customFormat="1" ht="57.35">
      <c r="A1167" s="167" t="s">
        <v>190</v>
      </c>
      <c r="B1167" s="171" t="s">
        <v>184</v>
      </c>
      <c r="C1167" s="171" t="s">
        <v>336</v>
      </c>
      <c r="D1167" s="172">
        <v>81748902.439024389</v>
      </c>
      <c r="E1167" s="173" t="s">
        <v>185</v>
      </c>
      <c r="F1167" s="173" t="s">
        <v>189</v>
      </c>
      <c r="G1167" s="262" t="s">
        <v>762</v>
      </c>
      <c r="H1167" s="173" t="s">
        <v>45</v>
      </c>
      <c r="I1167" s="173" t="s">
        <v>40</v>
      </c>
      <c r="J1167" s="173" t="s">
        <v>40</v>
      </c>
      <c r="K1167" s="240">
        <v>40909</v>
      </c>
      <c r="L1167" s="173" t="s">
        <v>894</v>
      </c>
      <c r="M1167" s="262" t="s">
        <v>892</v>
      </c>
      <c r="N1167" s="337"/>
      <c r="O1167" s="461">
        <f>CompletedProjects[[#This Row],[Power Plant Size (MW) or Share]]*0.593*9057*211.9*10^(-9)</f>
        <v>0</v>
      </c>
      <c r="P1167" s="337">
        <f>CompletedProjects[[#This Row],[Annual Emissions (MMTCO2)]]*40</f>
        <v>0</v>
      </c>
      <c r="Q1167" s="176"/>
      <c r="R1167" s="178"/>
      <c r="S1167" s="167"/>
      <c r="T1167" s="178"/>
    </row>
    <row r="1168" spans="1:20" customFormat="1" ht="43">
      <c r="A1168" s="181" t="s">
        <v>190</v>
      </c>
      <c r="B1168" s="182" t="s">
        <v>559</v>
      </c>
      <c r="C1168" s="182" t="s">
        <v>464</v>
      </c>
      <c r="D1168" s="172">
        <v>11884552.8624075</v>
      </c>
      <c r="E1168" s="173" t="s">
        <v>600</v>
      </c>
      <c r="F1168" s="173" t="s">
        <v>601</v>
      </c>
      <c r="G1168" s="262" t="s">
        <v>800</v>
      </c>
      <c r="H1168" s="173" t="s">
        <v>481</v>
      </c>
      <c r="I1168" s="180" t="s">
        <v>283</v>
      </c>
      <c r="J1168" s="173" t="s">
        <v>277</v>
      </c>
      <c r="K1168" s="240">
        <v>40544</v>
      </c>
      <c r="L1168" s="173" t="s">
        <v>909</v>
      </c>
      <c r="M1168" s="267"/>
      <c r="N1168" s="338">
        <f>600/12</f>
        <v>50</v>
      </c>
      <c r="O1168" s="461">
        <f>CompletedProjects[[#This Row],[Power Plant Size (MW) or Share]]*0.593*9057*211.9*10^(-9)</f>
        <v>5.6903636595000001E-2</v>
      </c>
      <c r="P1168" s="337">
        <f>CompletedProjects[[#This Row],[Annual Emissions (MMTCO2)]]*40</f>
        <v>2.2761454637999998</v>
      </c>
      <c r="Q1168" s="169"/>
      <c r="R1168" s="185"/>
      <c r="S1168" s="181"/>
      <c r="T1168" s="185"/>
    </row>
    <row r="1169" spans="1:20" customFormat="1" ht="43">
      <c r="A1169" s="167" t="s">
        <v>190</v>
      </c>
      <c r="B1169" s="173" t="s">
        <v>1036</v>
      </c>
      <c r="C1169" s="171" t="s">
        <v>337</v>
      </c>
      <c r="D1169" s="172">
        <v>25000000</v>
      </c>
      <c r="E1169" s="173" t="s">
        <v>1043</v>
      </c>
      <c r="F1169" s="173" t="s">
        <v>1044</v>
      </c>
      <c r="G1169" s="262" t="s">
        <v>1049</v>
      </c>
      <c r="H1169" s="180" t="s">
        <v>208</v>
      </c>
      <c r="I1169" s="180" t="s">
        <v>283</v>
      </c>
      <c r="J1169" s="173" t="s">
        <v>277</v>
      </c>
      <c r="K1169" s="240">
        <v>40918</v>
      </c>
      <c r="L1169" s="173" t="s">
        <v>1053</v>
      </c>
      <c r="M1169" s="262"/>
      <c r="N1169" s="337"/>
      <c r="O1169" s="461">
        <f>CompletedProjects[[#This Row],[Power Plant Size (MW) or Share]]*0.593*9057*211.9*10^(-9)</f>
        <v>0</v>
      </c>
      <c r="P1169" s="337">
        <f>CompletedProjects[[#This Row],[Annual Emissions (MMTCO2)]]*40</f>
        <v>0</v>
      </c>
      <c r="Q1169" s="176"/>
      <c r="R1169" s="178"/>
      <c r="S1169" s="167"/>
      <c r="T1169" s="178"/>
    </row>
    <row r="1170" spans="1:20" customFormat="1" ht="28.7">
      <c r="A1170" s="228" t="s">
        <v>190</v>
      </c>
      <c r="B1170" s="288" t="s">
        <v>1036</v>
      </c>
      <c r="C1170" s="288" t="s">
        <v>337</v>
      </c>
      <c r="D1170" s="172">
        <v>175000000</v>
      </c>
      <c r="E1170" s="197" t="s">
        <v>1454</v>
      </c>
      <c r="F1170" s="197" t="s">
        <v>1455</v>
      </c>
      <c r="G1170" s="268" t="s">
        <v>1456</v>
      </c>
      <c r="H1170" s="197" t="s">
        <v>208</v>
      </c>
      <c r="I1170" s="173" t="s">
        <v>40</v>
      </c>
      <c r="J1170" s="197" t="s">
        <v>1457</v>
      </c>
      <c r="K1170" s="243">
        <v>41045</v>
      </c>
      <c r="L1170" s="197"/>
      <c r="M1170" s="268"/>
      <c r="N1170" s="339"/>
      <c r="O1170" s="461">
        <f>CompletedProjects[[#This Row],[Power Plant Size (MW) or Share]]*0.593*9057*211.9*10^(-9)</f>
        <v>0</v>
      </c>
      <c r="P1170" s="337">
        <f>CompletedProjects[[#This Row],[Annual Emissions (MMTCO2)]]*40</f>
        <v>0</v>
      </c>
      <c r="Q1170" s="226"/>
      <c r="R1170" s="227"/>
      <c r="S1170" s="224"/>
      <c r="T1170" s="227"/>
    </row>
    <row r="1171" spans="1:20" customFormat="1" ht="28.7">
      <c r="A1171" s="167" t="s">
        <v>190</v>
      </c>
      <c r="B1171" s="173" t="s">
        <v>1036</v>
      </c>
      <c r="C1171" s="171" t="s">
        <v>337</v>
      </c>
      <c r="D1171" s="172">
        <v>50050000</v>
      </c>
      <c r="E1171" s="173" t="s">
        <v>1045</v>
      </c>
      <c r="F1171" s="173" t="s">
        <v>1046</v>
      </c>
      <c r="G1171" s="262" t="s">
        <v>1050</v>
      </c>
      <c r="H1171" s="173" t="s">
        <v>190</v>
      </c>
      <c r="I1171" s="180" t="s">
        <v>283</v>
      </c>
      <c r="J1171" s="173" t="s">
        <v>277</v>
      </c>
      <c r="K1171" s="240">
        <v>41253</v>
      </c>
      <c r="L1171" s="173" t="s">
        <v>1054</v>
      </c>
      <c r="M1171" s="262"/>
      <c r="N1171" s="337"/>
      <c r="O1171" s="461">
        <f>CompletedProjects[[#This Row],[Power Plant Size (MW) or Share]]*0.593*9057*211.9*10^(-9)</f>
        <v>0</v>
      </c>
      <c r="P1171" s="337">
        <f>CompletedProjects[[#This Row],[Annual Emissions (MMTCO2)]]*40</f>
        <v>0</v>
      </c>
      <c r="Q1171" s="176"/>
      <c r="R1171" s="178"/>
      <c r="S1171" s="167"/>
      <c r="T1171" s="178"/>
    </row>
    <row r="1172" spans="1:20" customFormat="1" ht="129">
      <c r="A1172" s="167" t="s">
        <v>190</v>
      </c>
      <c r="B1172" s="167" t="s">
        <v>512</v>
      </c>
      <c r="C1172" s="167" t="s">
        <v>464</v>
      </c>
      <c r="D1172" s="172">
        <f>21000000*'Dev Bank Share by Country'!$E$183</f>
        <v>1271399.1303909721</v>
      </c>
      <c r="E1172" s="173" t="s">
        <v>434</v>
      </c>
      <c r="F1172" s="173" t="s">
        <v>435</v>
      </c>
      <c r="G1172" s="262" t="s">
        <v>790</v>
      </c>
      <c r="H1172" s="173" t="s">
        <v>436</v>
      </c>
      <c r="I1172" s="173" t="s">
        <v>284</v>
      </c>
      <c r="J1172" s="173" t="s">
        <v>1498</v>
      </c>
      <c r="K1172" s="241">
        <v>40801</v>
      </c>
      <c r="L1172" s="173" t="s">
        <v>829</v>
      </c>
      <c r="M1172" s="273" t="s">
        <v>775</v>
      </c>
      <c r="N1172" s="256"/>
      <c r="O1172" s="461">
        <f>CompletedProjects[[#This Row],[Power Plant Size (MW) or Share]]*0.593*9057*211.9*10^(-9)</f>
        <v>0</v>
      </c>
      <c r="P1172" s="337">
        <f>CompletedProjects[[#This Row],[Annual Emissions (MMTCO2)]]*40</f>
        <v>0</v>
      </c>
      <c r="Q1172" s="167"/>
      <c r="R1172" s="167" t="s">
        <v>400</v>
      </c>
      <c r="S1172" s="167" t="s">
        <v>633</v>
      </c>
      <c r="T1172" s="167"/>
    </row>
    <row r="1173" spans="1:20" customFormat="1" ht="100.35">
      <c r="A1173" s="167" t="s">
        <v>190</v>
      </c>
      <c r="B1173" s="173" t="s">
        <v>1036</v>
      </c>
      <c r="C1173" s="171" t="s">
        <v>337</v>
      </c>
      <c r="D1173" s="172">
        <v>24390000</v>
      </c>
      <c r="E1173" s="173" t="s">
        <v>1037</v>
      </c>
      <c r="F1173" s="173" t="s">
        <v>1038</v>
      </c>
      <c r="G1173" s="262"/>
      <c r="H1173" s="173" t="s">
        <v>11</v>
      </c>
      <c r="I1173" s="180" t="s">
        <v>283</v>
      </c>
      <c r="J1173" s="173" t="s">
        <v>277</v>
      </c>
      <c r="K1173" s="240">
        <v>41417</v>
      </c>
      <c r="L1173" s="173" t="s">
        <v>1055</v>
      </c>
      <c r="M1173" s="262"/>
      <c r="N1173" s="337"/>
      <c r="O1173" s="461">
        <f>CompletedProjects[[#This Row],[Power Plant Size (MW) or Share]]*0.593*9057*211.9*10^(-9)</f>
        <v>0</v>
      </c>
      <c r="P1173" s="337">
        <f>CompletedProjects[[#This Row],[Annual Emissions (MMTCO2)]]*40</f>
        <v>0</v>
      </c>
      <c r="Q1173" s="176"/>
      <c r="R1173" s="178"/>
      <c r="S1173" s="167"/>
      <c r="T1173" s="178"/>
    </row>
    <row r="1174" spans="1:20" customFormat="1" ht="57.35">
      <c r="A1174" s="167" t="s">
        <v>190</v>
      </c>
      <c r="B1174" s="167" t="s">
        <v>511</v>
      </c>
      <c r="C1174" s="167" t="s">
        <v>464</v>
      </c>
      <c r="D1174" s="172">
        <f>18000000*'Dev Bank Share by Country'!$G$183</f>
        <v>848833.27169858234</v>
      </c>
      <c r="E1174" s="173" t="s">
        <v>407</v>
      </c>
      <c r="F1174" s="173" t="s">
        <v>407</v>
      </c>
      <c r="G1174" s="262" t="s">
        <v>776</v>
      </c>
      <c r="H1174" s="173" t="s">
        <v>408</v>
      </c>
      <c r="I1174" s="180" t="s">
        <v>283</v>
      </c>
      <c r="J1174" s="173" t="s">
        <v>409</v>
      </c>
      <c r="K1174" s="241">
        <v>39254</v>
      </c>
      <c r="L1174" s="173" t="s">
        <v>816</v>
      </c>
      <c r="M1174" s="262"/>
      <c r="N1174" s="256">
        <f>60/19</f>
        <v>3.1578947368421053</v>
      </c>
      <c r="O1174" s="461">
        <f>CompletedProjects[[#This Row],[Power Plant Size (MW) or Share]]*0.593*9057*211.9*10^(-9)</f>
        <v>3.5939138902105262E-3</v>
      </c>
      <c r="P1174" s="337">
        <f>CompletedProjects[[#This Row],[Annual Emissions (MMTCO2)]]*40</f>
        <v>0.14375655560842104</v>
      </c>
      <c r="Q1174" s="167"/>
      <c r="R1174" s="167" t="s">
        <v>636</v>
      </c>
      <c r="S1174" s="167" t="s">
        <v>633</v>
      </c>
      <c r="T1174" s="167"/>
    </row>
    <row r="1175" spans="1:20" customFormat="1" ht="57.35">
      <c r="A1175" s="224" t="s">
        <v>190</v>
      </c>
      <c r="B1175" s="225" t="s">
        <v>1036</v>
      </c>
      <c r="C1175" s="225" t="s">
        <v>337</v>
      </c>
      <c r="D1175" s="172">
        <v>100000000</v>
      </c>
      <c r="E1175" s="197" t="s">
        <v>1449</v>
      </c>
      <c r="F1175" s="197" t="s">
        <v>1450</v>
      </c>
      <c r="G1175" s="268" t="s">
        <v>1451</v>
      </c>
      <c r="H1175" s="197" t="s">
        <v>45</v>
      </c>
      <c r="I1175" s="173" t="s">
        <v>40</v>
      </c>
      <c r="J1175" s="197" t="s">
        <v>1452</v>
      </c>
      <c r="K1175" s="243">
        <v>41667</v>
      </c>
      <c r="L1175" s="197" t="s">
        <v>1453</v>
      </c>
      <c r="M1175" s="268"/>
      <c r="N1175" s="339"/>
      <c r="O1175" s="461">
        <f>CompletedProjects[[#This Row],[Power Plant Size (MW) or Share]]*0.593*9057*211.9*10^(-9)</f>
        <v>0</v>
      </c>
      <c r="P1175" s="337">
        <f>CompletedProjects[[#This Row],[Annual Emissions (MMTCO2)]]*40</f>
        <v>0</v>
      </c>
      <c r="Q1175" s="226"/>
      <c r="R1175" s="227"/>
      <c r="S1175" s="224"/>
      <c r="T1175" s="227"/>
    </row>
    <row r="1176" spans="1:20" customFormat="1" ht="86">
      <c r="A1176" s="167" t="s">
        <v>190</v>
      </c>
      <c r="B1176" s="167" t="s">
        <v>512</v>
      </c>
      <c r="C1176" s="167" t="s">
        <v>464</v>
      </c>
      <c r="D1176" s="172">
        <f>7500000*'Dev Bank Share by Country'!$E$183</f>
        <v>454071.11799677578</v>
      </c>
      <c r="E1176" s="173" t="s">
        <v>456</v>
      </c>
      <c r="F1176" s="173" t="s">
        <v>457</v>
      </c>
      <c r="G1176" s="262" t="s">
        <v>794</v>
      </c>
      <c r="H1176" s="173" t="s">
        <v>458</v>
      </c>
      <c r="I1176" s="180" t="s">
        <v>283</v>
      </c>
      <c r="J1176" s="173" t="s">
        <v>26</v>
      </c>
      <c r="K1176" s="241">
        <v>41627</v>
      </c>
      <c r="L1176" s="173" t="s">
        <v>899</v>
      </c>
      <c r="M1176" s="262"/>
      <c r="N1176" s="256">
        <f>125/19</f>
        <v>6.5789473684210522</v>
      </c>
      <c r="O1176" s="461">
        <f>CompletedProjects[[#This Row],[Power Plant Size (MW) or Share]]*0.593*9057*211.9*10^(-9)</f>
        <v>7.487320604605263E-3</v>
      </c>
      <c r="P1176" s="337">
        <f>CompletedProjects[[#This Row],[Annual Emissions (MMTCO2)]]*40</f>
        <v>0.29949282418421053</v>
      </c>
      <c r="Q1176" s="167"/>
      <c r="R1176" s="167" t="s">
        <v>637</v>
      </c>
      <c r="S1176" s="167" t="s">
        <v>633</v>
      </c>
      <c r="T1176" s="167" t="s">
        <v>537</v>
      </c>
    </row>
    <row r="1177" spans="1:20" customFormat="1" ht="100.35">
      <c r="A1177" s="167" t="s">
        <v>190</v>
      </c>
      <c r="B1177" s="167" t="s">
        <v>511</v>
      </c>
      <c r="C1177" s="167" t="s">
        <v>464</v>
      </c>
      <c r="D1177" s="172">
        <f>146970000*'Dev Bank Share by Country'!$G$183</f>
        <v>6930723.6634189254</v>
      </c>
      <c r="E1177" s="173" t="s">
        <v>459</v>
      </c>
      <c r="F1177" s="173" t="s">
        <v>460</v>
      </c>
      <c r="G1177" s="262" t="s">
        <v>784</v>
      </c>
      <c r="H1177" s="173" t="s">
        <v>239</v>
      </c>
      <c r="I1177" s="180" t="s">
        <v>283</v>
      </c>
      <c r="J1177" s="173" t="s">
        <v>26</v>
      </c>
      <c r="K1177" s="241">
        <v>41701</v>
      </c>
      <c r="L1177" s="173" t="s">
        <v>900</v>
      </c>
      <c r="M1177" s="262"/>
      <c r="N1177" s="256"/>
      <c r="O1177" s="461">
        <f>CompletedProjects[[#This Row],[Power Plant Size (MW) or Share]]*0.593*9057*211.9*10^(-9)</f>
        <v>0</v>
      </c>
      <c r="P1177" s="337">
        <f>CompletedProjects[[#This Row],[Annual Emissions (MMTCO2)]]*40</f>
        <v>0</v>
      </c>
      <c r="Q1177" s="167"/>
      <c r="R1177" s="167" t="s">
        <v>400</v>
      </c>
      <c r="S1177" s="167" t="s">
        <v>465</v>
      </c>
      <c r="T1177" s="167"/>
    </row>
    <row r="1178" spans="1:20" customFormat="1" ht="71.7">
      <c r="A1178" s="228" t="s">
        <v>190</v>
      </c>
      <c r="B1178" s="225" t="s">
        <v>1036</v>
      </c>
      <c r="C1178" s="225" t="s">
        <v>337</v>
      </c>
      <c r="D1178" s="172">
        <v>207380000</v>
      </c>
      <c r="E1178" s="197" t="s">
        <v>1466</v>
      </c>
      <c r="F1178" s="197" t="s">
        <v>1467</v>
      </c>
      <c r="G1178" s="268" t="s">
        <v>1468</v>
      </c>
      <c r="H1178" s="197" t="s">
        <v>11</v>
      </c>
      <c r="I1178" s="173" t="s">
        <v>40</v>
      </c>
      <c r="J1178" s="197" t="s">
        <v>1452</v>
      </c>
      <c r="K1178" s="243">
        <v>41760</v>
      </c>
      <c r="L1178" s="197" t="s">
        <v>1469</v>
      </c>
      <c r="M1178" s="268"/>
      <c r="N1178" s="339"/>
      <c r="O1178" s="461">
        <f>CompletedProjects[[#This Row],[Power Plant Size (MW) or Share]]*0.593*9057*211.9*10^(-9)</f>
        <v>0</v>
      </c>
      <c r="P1178" s="337">
        <f>CompletedProjects[[#This Row],[Annual Emissions (MMTCO2)]]*40</f>
        <v>0</v>
      </c>
      <c r="Q1178" s="226"/>
      <c r="R1178" s="227"/>
      <c r="S1178" s="224"/>
      <c r="T1178" s="227"/>
    </row>
    <row r="1179" spans="1:20" customFormat="1" ht="129">
      <c r="A1179" s="181" t="s">
        <v>190</v>
      </c>
      <c r="B1179" s="182" t="s">
        <v>509</v>
      </c>
      <c r="C1179" s="182" t="s">
        <v>464</v>
      </c>
      <c r="D1179" s="172">
        <v>3500054.9468867341</v>
      </c>
      <c r="E1179" s="173" t="s">
        <v>556</v>
      </c>
      <c r="F1179" s="173" t="s">
        <v>555</v>
      </c>
      <c r="G1179" s="262"/>
      <c r="H1179" s="173" t="s">
        <v>554</v>
      </c>
      <c r="I1179" s="180" t="s">
        <v>283</v>
      </c>
      <c r="J1179" s="173" t="s">
        <v>26</v>
      </c>
      <c r="K1179" s="240">
        <v>42064</v>
      </c>
      <c r="L1179" s="173" t="s">
        <v>857</v>
      </c>
      <c r="M1179" s="262" t="s">
        <v>858</v>
      </c>
      <c r="N1179" s="337"/>
      <c r="O1179" s="461">
        <f>CompletedProjects[[#This Row],[Power Plant Size (MW) or Share]]*0.593*9057*211.9*10^(-9)</f>
        <v>0</v>
      </c>
      <c r="P1179" s="337">
        <f>CompletedProjects[[#This Row],[Annual Emissions (MMTCO2)]]*40</f>
        <v>0</v>
      </c>
      <c r="Q1179" s="176"/>
      <c r="R1179" s="178" t="s">
        <v>537</v>
      </c>
      <c r="S1179" s="167"/>
      <c r="T1179" s="178"/>
    </row>
    <row r="1180" spans="1:20" customFormat="1" ht="43">
      <c r="A1180" s="181" t="s">
        <v>190</v>
      </c>
      <c r="B1180" s="182" t="s">
        <v>559</v>
      </c>
      <c r="C1180" s="182" t="s">
        <v>464</v>
      </c>
      <c r="D1180" s="172">
        <v>7574605.9476079065</v>
      </c>
      <c r="E1180" s="173" t="s">
        <v>595</v>
      </c>
      <c r="F1180" s="173" t="s">
        <v>594</v>
      </c>
      <c r="G1180" s="262" t="s">
        <v>796</v>
      </c>
      <c r="H1180" s="173" t="s">
        <v>45</v>
      </c>
      <c r="I1180" s="180" t="s">
        <v>283</v>
      </c>
      <c r="J1180" s="173" t="s">
        <v>277</v>
      </c>
      <c r="K1180" s="240">
        <v>40032</v>
      </c>
      <c r="L1180" s="173"/>
      <c r="M1180" s="262"/>
      <c r="N1180" s="338">
        <f>185/12</f>
        <v>15.416666666666666</v>
      </c>
      <c r="O1180" s="461">
        <f>CompletedProjects[[#This Row],[Power Plant Size (MW) or Share]]*0.593*9057*211.9*10^(-9)</f>
        <v>1.7545287950124999E-2</v>
      </c>
      <c r="P1180" s="337">
        <f>CompletedProjects[[#This Row],[Annual Emissions (MMTCO2)]]*40</f>
        <v>0.70181151800499997</v>
      </c>
      <c r="Q1180" s="169"/>
      <c r="R1180" s="185"/>
      <c r="S1180" s="181"/>
      <c r="T1180" s="185"/>
    </row>
    <row r="1181" spans="1:20" customFormat="1" ht="215">
      <c r="A1181" s="167" t="s">
        <v>190</v>
      </c>
      <c r="B1181" s="171" t="s">
        <v>509</v>
      </c>
      <c r="C1181" s="171" t="s">
        <v>464</v>
      </c>
      <c r="D1181" s="172">
        <v>19687809.07623788</v>
      </c>
      <c r="E1181" s="173" t="s">
        <v>41</v>
      </c>
      <c r="F1181" s="173" t="s">
        <v>553</v>
      </c>
      <c r="G1181" s="262" t="s">
        <v>788</v>
      </c>
      <c r="H1181" s="173" t="s">
        <v>25</v>
      </c>
      <c r="I1181" s="173" t="s">
        <v>284</v>
      </c>
      <c r="J1181" s="173" t="s">
        <v>79</v>
      </c>
      <c r="K1181" s="240">
        <v>42359</v>
      </c>
      <c r="L1181" s="173" t="s">
        <v>1326</v>
      </c>
      <c r="M1181" s="262" t="s">
        <v>861</v>
      </c>
      <c r="N1181" s="337"/>
      <c r="O1181" s="461">
        <f>CompletedProjects[[#This Row],[Power Plant Size (MW) or Share]]*0.593*9057*211.9*10^(-9)</f>
        <v>0</v>
      </c>
      <c r="P1181" s="337">
        <f>CompletedProjects[[#This Row],[Annual Emissions (MMTCO2)]]*40</f>
        <v>0</v>
      </c>
      <c r="Q1181" s="176"/>
      <c r="R1181" s="178"/>
      <c r="S1181" s="167"/>
      <c r="T1181" s="178"/>
    </row>
    <row r="1182" spans="1:20" customFormat="1" ht="57.35">
      <c r="A1182" s="167" t="s">
        <v>190</v>
      </c>
      <c r="B1182" s="182" t="s">
        <v>559</v>
      </c>
      <c r="C1182" s="182" t="s">
        <v>464</v>
      </c>
      <c r="D1182" s="172">
        <v>2616444.1960649067</v>
      </c>
      <c r="E1182" s="173" t="s">
        <v>596</v>
      </c>
      <c r="F1182" s="173" t="s">
        <v>597</v>
      </c>
      <c r="G1182" s="262" t="s">
        <v>797</v>
      </c>
      <c r="H1182" s="173" t="s">
        <v>493</v>
      </c>
      <c r="I1182" s="180" t="s">
        <v>283</v>
      </c>
      <c r="J1182" s="173" t="s">
        <v>277</v>
      </c>
      <c r="K1182" s="240">
        <v>40052</v>
      </c>
      <c r="L1182" s="269" t="s">
        <v>1690</v>
      </c>
      <c r="M1182" s="262" t="s">
        <v>903</v>
      </c>
      <c r="N1182" s="337"/>
      <c r="O1182" s="461">
        <f>CompletedProjects[[#This Row],[Power Plant Size (MW) or Share]]*0.593*9057*211.9*10^(-9)</f>
        <v>0</v>
      </c>
      <c r="P1182" s="337">
        <f>CompletedProjects[[#This Row],[Annual Emissions (MMTCO2)]]*40</f>
        <v>0</v>
      </c>
      <c r="Q1182" s="176"/>
      <c r="R1182" s="178"/>
      <c r="S1182" s="167"/>
      <c r="T1182" s="178"/>
    </row>
    <row r="1183" spans="1:20" customFormat="1" ht="43">
      <c r="A1183" s="173" t="s">
        <v>190</v>
      </c>
      <c r="B1183" s="173" t="s">
        <v>519</v>
      </c>
      <c r="C1183" s="173" t="s">
        <v>464</v>
      </c>
      <c r="D1183" s="172">
        <f>135000000*'Dev Bank Share by Country'!$K$183</f>
        <v>2760750</v>
      </c>
      <c r="E1183" s="173" t="s">
        <v>531</v>
      </c>
      <c r="F1183" s="173" t="s">
        <v>538</v>
      </c>
      <c r="G1183" s="262"/>
      <c r="H1183" s="173" t="s">
        <v>239</v>
      </c>
      <c r="I1183" s="180" t="s">
        <v>283</v>
      </c>
      <c r="J1183" s="173" t="s">
        <v>26</v>
      </c>
      <c r="K1183" s="241">
        <v>40217</v>
      </c>
      <c r="L1183" s="173" t="s">
        <v>539</v>
      </c>
      <c r="M1183" s="262"/>
      <c r="N1183" s="337">
        <f>250/13</f>
        <v>19.23076923076923</v>
      </c>
      <c r="O1183" s="461">
        <f>CompletedProjects[[#This Row],[Power Plant Size (MW) or Share]]*0.593*9057*211.9*10^(-9)</f>
        <v>2.1886014075000002E-2</v>
      </c>
      <c r="P1183" s="337">
        <f>CompletedProjects[[#This Row],[Annual Emissions (MMTCO2)]]*40</f>
        <v>0.87544056300000006</v>
      </c>
      <c r="Q1183" s="176"/>
      <c r="R1183" s="178" t="s">
        <v>540</v>
      </c>
      <c r="S1183" s="167"/>
      <c r="T1183" s="178"/>
    </row>
    <row r="1184" spans="1:20" customFormat="1" ht="172">
      <c r="A1184" s="167" t="s">
        <v>190</v>
      </c>
      <c r="B1184" s="167" t="s">
        <v>513</v>
      </c>
      <c r="C1184" s="167" t="s">
        <v>464</v>
      </c>
      <c r="D1184" s="172">
        <f>57000000*'Dev Bank Share by Country'!$C$183</f>
        <v>2365500</v>
      </c>
      <c r="E1184" s="173" t="s">
        <v>415</v>
      </c>
      <c r="F1184" s="173" t="s">
        <v>416</v>
      </c>
      <c r="G1184" s="262" t="s">
        <v>772</v>
      </c>
      <c r="H1184" s="173" t="s">
        <v>368</v>
      </c>
      <c r="I1184" s="173" t="s">
        <v>40</v>
      </c>
      <c r="J1184" s="173" t="s">
        <v>417</v>
      </c>
      <c r="K1184" s="241">
        <v>39436</v>
      </c>
      <c r="L1184" s="173" t="s">
        <v>918</v>
      </c>
      <c r="M1184" s="273" t="s">
        <v>895</v>
      </c>
      <c r="N1184" s="256"/>
      <c r="O1184" s="461">
        <f>CompletedProjects[[#This Row],[Power Plant Size (MW) or Share]]*0.593*9057*211.9*10^(-9)</f>
        <v>0</v>
      </c>
      <c r="P1184" s="337">
        <f>CompletedProjects[[#This Row],[Annual Emissions (MMTCO2)]]*40</f>
        <v>0</v>
      </c>
      <c r="Q1184" s="167"/>
      <c r="R1184" s="167" t="s">
        <v>400</v>
      </c>
      <c r="S1184" s="167" t="s">
        <v>633</v>
      </c>
      <c r="T1184" s="167"/>
    </row>
    <row r="1185" spans="1:20" customFormat="1" ht="172">
      <c r="A1185" s="167" t="s">
        <v>208</v>
      </c>
      <c r="B1185" s="167" t="s">
        <v>511</v>
      </c>
      <c r="C1185" s="167" t="s">
        <v>464</v>
      </c>
      <c r="D1185" s="172">
        <f>500000000*'Dev Bank Share by Country'!$G$184</f>
        <v>110938460.20155148</v>
      </c>
      <c r="E1185" s="173" t="s">
        <v>454</v>
      </c>
      <c r="F1185" s="173" t="s">
        <v>514</v>
      </c>
      <c r="G1185" s="262" t="s">
        <v>783</v>
      </c>
      <c r="H1185" s="183" t="s">
        <v>515</v>
      </c>
      <c r="I1185" s="180" t="s">
        <v>283</v>
      </c>
      <c r="J1185" s="173" t="s">
        <v>26</v>
      </c>
      <c r="K1185" s="241">
        <v>41760</v>
      </c>
      <c r="L1185" s="173" t="s">
        <v>833</v>
      </c>
      <c r="M1185" s="262"/>
      <c r="N1185" s="256">
        <f>(270+450)/19</f>
        <v>37.89473684210526</v>
      </c>
      <c r="O1185" s="461">
        <f>CompletedProjects[[#This Row],[Power Plant Size (MW) or Share]]*0.593*9057*211.9*10^(-9)</f>
        <v>4.3126966682526316E-2</v>
      </c>
      <c r="P1185" s="337">
        <f>CompletedProjects[[#This Row],[Annual Emissions (MMTCO2)]]*40</f>
        <v>1.7250786673010525</v>
      </c>
      <c r="Q1185" s="167"/>
      <c r="R1185" s="167" t="s">
        <v>639</v>
      </c>
      <c r="S1185" s="167" t="s">
        <v>465</v>
      </c>
      <c r="T1185" s="167"/>
    </row>
    <row r="1186" spans="1:20" customFormat="1" ht="172">
      <c r="A1186" s="167" t="s">
        <v>208</v>
      </c>
      <c r="B1186" s="167" t="s">
        <v>401</v>
      </c>
      <c r="C1186" s="167" t="s">
        <v>464</v>
      </c>
      <c r="D1186" s="172">
        <f>1120000*'Dev Bank Share by Country'!$E$184</f>
        <v>117530.20313495335</v>
      </c>
      <c r="E1186" s="173" t="s">
        <v>402</v>
      </c>
      <c r="F1186" s="173" t="s">
        <v>403</v>
      </c>
      <c r="G1186" s="262" t="s">
        <v>785</v>
      </c>
      <c r="H1186" s="173" t="s">
        <v>404</v>
      </c>
      <c r="I1186" s="173" t="s">
        <v>284</v>
      </c>
      <c r="J1186" s="173" t="s">
        <v>1498</v>
      </c>
      <c r="K1186" s="241">
        <v>39224</v>
      </c>
      <c r="L1186" s="173" t="s">
        <v>826</v>
      </c>
      <c r="M1186" s="262" t="s">
        <v>785</v>
      </c>
      <c r="N1186" s="256"/>
      <c r="O1186" s="461">
        <f>CompletedProjects[[#This Row],[Power Plant Size (MW) or Share]]*0.593*9057*211.9*10^(-9)</f>
        <v>0</v>
      </c>
      <c r="P1186" s="337">
        <f>CompletedProjects[[#This Row],[Annual Emissions (MMTCO2)]]*40</f>
        <v>0</v>
      </c>
      <c r="Q1186" s="167"/>
      <c r="R1186" s="167" t="s">
        <v>400</v>
      </c>
      <c r="S1186" s="167" t="s">
        <v>633</v>
      </c>
      <c r="T1186" s="167" t="s">
        <v>537</v>
      </c>
    </row>
    <row r="1187" spans="1:20" customFormat="1" ht="172">
      <c r="A1187" s="167" t="s">
        <v>208</v>
      </c>
      <c r="B1187" s="167" t="s">
        <v>512</v>
      </c>
      <c r="C1187" s="167" t="s">
        <v>464</v>
      </c>
      <c r="D1187" s="172">
        <f>4200000*'Dev Bank Share by Country'!$E$184</f>
        <v>440738.26175607502</v>
      </c>
      <c r="E1187" s="173" t="s">
        <v>448</v>
      </c>
      <c r="F1187" s="173" t="s">
        <v>449</v>
      </c>
      <c r="G1187" s="262" t="s">
        <v>792</v>
      </c>
      <c r="H1187" s="173" t="s">
        <v>450</v>
      </c>
      <c r="I1187" s="173" t="s">
        <v>40</v>
      </c>
      <c r="J1187" s="173" t="s">
        <v>1502</v>
      </c>
      <c r="K1187" s="241">
        <v>41404</v>
      </c>
      <c r="L1187" s="173" t="s">
        <v>925</v>
      </c>
      <c r="M1187" s="262"/>
      <c r="N1187" s="256"/>
      <c r="O1187" s="461">
        <f>CompletedProjects[[#This Row],[Power Plant Size (MW) or Share]]*0.593*9057*211.9*10^(-9)</f>
        <v>0</v>
      </c>
      <c r="P1187" s="337">
        <f>CompletedProjects[[#This Row],[Annual Emissions (MMTCO2)]]*40</f>
        <v>0</v>
      </c>
      <c r="Q1187" s="167"/>
      <c r="R1187" s="167" t="s">
        <v>400</v>
      </c>
      <c r="S1187" s="167" t="s">
        <v>465</v>
      </c>
      <c r="T1187" s="167"/>
    </row>
    <row r="1188" spans="1:20" customFormat="1" ht="157.69999999999999">
      <c r="A1188" s="167" t="s">
        <v>208</v>
      </c>
      <c r="B1188" s="167" t="s">
        <v>513</v>
      </c>
      <c r="C1188" s="167" t="s">
        <v>464</v>
      </c>
      <c r="D1188" s="172">
        <f>180000000*'Dev Bank Share by Country'!$C$184</f>
        <v>30834000</v>
      </c>
      <c r="E1188" s="173" t="s">
        <v>425</v>
      </c>
      <c r="F1188" s="173" t="s">
        <v>426</v>
      </c>
      <c r="G1188" s="262" t="s">
        <v>770</v>
      </c>
      <c r="H1188" s="173" t="s">
        <v>65</v>
      </c>
      <c r="I1188" s="180" t="s">
        <v>283</v>
      </c>
      <c r="J1188" s="173" t="s">
        <v>277</v>
      </c>
      <c r="K1188" s="241">
        <v>39982</v>
      </c>
      <c r="L1188" s="173" t="s">
        <v>921</v>
      </c>
      <c r="M1188" s="273"/>
      <c r="N1188" s="256">
        <f>420/19</f>
        <v>22.105263157894736</v>
      </c>
      <c r="O1188" s="461">
        <f>CompletedProjects[[#This Row],[Power Plant Size (MW) or Share]]*0.593*9057*211.9*10^(-9)</f>
        <v>2.5157397231473682E-2</v>
      </c>
      <c r="P1188" s="337">
        <f>CompletedProjects[[#This Row],[Annual Emissions (MMTCO2)]]*40</f>
        <v>1.0062958892589473</v>
      </c>
      <c r="Q1188" s="167"/>
      <c r="R1188" s="167" t="s">
        <v>638</v>
      </c>
      <c r="S1188" s="167" t="s">
        <v>466</v>
      </c>
      <c r="T1188" s="167"/>
    </row>
    <row r="1189" spans="1:20" customFormat="1" ht="57.35">
      <c r="A1189" s="181" t="s">
        <v>208</v>
      </c>
      <c r="B1189" s="182" t="s">
        <v>559</v>
      </c>
      <c r="C1189" s="182" t="s">
        <v>464</v>
      </c>
      <c r="D1189" s="172">
        <v>11400949.904207794</v>
      </c>
      <c r="E1189" s="173" t="s">
        <v>592</v>
      </c>
      <c r="F1189" s="173" t="s">
        <v>599</v>
      </c>
      <c r="G1189" s="262" t="s">
        <v>799</v>
      </c>
      <c r="H1189" s="173" t="s">
        <v>201</v>
      </c>
      <c r="I1189" s="173" t="s">
        <v>40</v>
      </c>
      <c r="J1189" s="173" t="s">
        <v>40</v>
      </c>
      <c r="K1189" s="240">
        <v>40310</v>
      </c>
      <c r="L1189" s="173" t="s">
        <v>1692</v>
      </c>
      <c r="M1189" s="262" t="s">
        <v>908</v>
      </c>
      <c r="N1189" s="337"/>
      <c r="O1189" s="461">
        <f>CompletedProjects[[#This Row],[Power Plant Size (MW) or Share]]*0.593*9057*211.9*10^(-9)</f>
        <v>0</v>
      </c>
      <c r="P1189" s="337">
        <f>CompletedProjects[[#This Row],[Annual Emissions (MMTCO2)]]*40</f>
        <v>0</v>
      </c>
      <c r="Q1189" s="176">
        <v>0.3</v>
      </c>
      <c r="R1189" s="178"/>
      <c r="S1189" s="167"/>
      <c r="T1189" s="178"/>
    </row>
    <row r="1190" spans="1:20" customFormat="1" ht="114.7">
      <c r="A1190" s="167" t="s">
        <v>208</v>
      </c>
      <c r="B1190" s="171" t="s">
        <v>559</v>
      </c>
      <c r="C1190" s="171" t="s">
        <v>464</v>
      </c>
      <c r="D1190" s="172">
        <v>10843643.28524401</v>
      </c>
      <c r="E1190" s="173" t="s">
        <v>606</v>
      </c>
      <c r="F1190" s="173" t="s">
        <v>607</v>
      </c>
      <c r="G1190" s="262" t="s">
        <v>730</v>
      </c>
      <c r="H1190" s="173" t="s">
        <v>56</v>
      </c>
      <c r="I1190" s="173" t="s">
        <v>40</v>
      </c>
      <c r="J1190" s="173" t="s">
        <v>40</v>
      </c>
      <c r="K1190" s="240">
        <v>40750</v>
      </c>
      <c r="L1190" s="173" t="s">
        <v>1696</v>
      </c>
      <c r="M1190" s="262" t="s">
        <v>912</v>
      </c>
      <c r="N1190" s="337"/>
      <c r="O1190" s="461">
        <f>CompletedProjects[[#This Row],[Power Plant Size (MW) or Share]]*0.593*9057*211.9*10^(-9)</f>
        <v>0</v>
      </c>
      <c r="P1190" s="337">
        <f>CompletedProjects[[#This Row],[Annual Emissions (MMTCO2)]]*40</f>
        <v>0</v>
      </c>
      <c r="Q1190" s="176"/>
      <c r="R1190" s="178"/>
      <c r="S1190" s="167"/>
      <c r="T1190" s="178"/>
    </row>
    <row r="1191" spans="1:20" customFormat="1" ht="229.35">
      <c r="A1191" s="167" t="s">
        <v>208</v>
      </c>
      <c r="B1191" s="167" t="s">
        <v>513</v>
      </c>
      <c r="C1191" s="167" t="s">
        <v>464</v>
      </c>
      <c r="D1191" s="172">
        <f>1000000000*'Dev Bank Share by Country'!$C$184</f>
        <v>171300000</v>
      </c>
      <c r="E1191" s="173" t="s">
        <v>425</v>
      </c>
      <c r="F1191" s="173" t="s">
        <v>427</v>
      </c>
      <c r="G1191" s="262" t="s">
        <v>778</v>
      </c>
      <c r="H1191" s="173" t="s">
        <v>65</v>
      </c>
      <c r="I1191" s="173" t="s">
        <v>1507</v>
      </c>
      <c r="J1191" s="173" t="s">
        <v>428</v>
      </c>
      <c r="K1191" s="241">
        <v>40078</v>
      </c>
      <c r="L1191" s="173" t="s">
        <v>824</v>
      </c>
      <c r="M1191" s="262"/>
      <c r="N1191" s="256"/>
      <c r="O1191" s="461">
        <f>CompletedProjects[[#This Row],[Power Plant Size (MW) or Share]]*0.593*9057*211.9*10^(-9)</f>
        <v>0</v>
      </c>
      <c r="P1191" s="337">
        <f>CompletedProjects[[#This Row],[Annual Emissions (MMTCO2)]]*40</f>
        <v>0</v>
      </c>
      <c r="Q1191" s="167"/>
      <c r="R1191" s="167" t="s">
        <v>400</v>
      </c>
      <c r="S1191" s="167" t="s">
        <v>465</v>
      </c>
      <c r="T1191" s="167"/>
    </row>
    <row r="1192" spans="1:20" customFormat="1" ht="129">
      <c r="A1192" s="167" t="s">
        <v>208</v>
      </c>
      <c r="B1192" s="167" t="s">
        <v>511</v>
      </c>
      <c r="C1192" s="167" t="s">
        <v>464</v>
      </c>
      <c r="D1192" s="172">
        <f>46500000*'Dev Bank Share by Country'!$G$184</f>
        <v>10317276.798744287</v>
      </c>
      <c r="E1192" s="173" t="s">
        <v>423</v>
      </c>
      <c r="F1192" s="173" t="s">
        <v>424</v>
      </c>
      <c r="G1192" s="262" t="s">
        <v>774</v>
      </c>
      <c r="H1192" s="173" t="s">
        <v>65</v>
      </c>
      <c r="I1192" s="173" t="s">
        <v>284</v>
      </c>
      <c r="J1192" s="173" t="s">
        <v>79</v>
      </c>
      <c r="K1192" s="241">
        <v>39898</v>
      </c>
      <c r="L1192" s="173" t="s">
        <v>920</v>
      </c>
      <c r="M1192" s="273"/>
      <c r="N1192" s="256"/>
      <c r="O1192" s="461">
        <f>CompletedProjects[[#This Row],[Power Plant Size (MW) or Share]]*0.593*9057*211.9*10^(-9)</f>
        <v>0</v>
      </c>
      <c r="P1192" s="337">
        <f>CompletedProjects[[#This Row],[Annual Emissions (MMTCO2)]]*40</f>
        <v>0</v>
      </c>
      <c r="Q1192" s="167"/>
      <c r="R1192" s="173" t="s">
        <v>920</v>
      </c>
      <c r="S1192" s="167" t="s">
        <v>465</v>
      </c>
      <c r="T1192" s="173"/>
    </row>
    <row r="1193" spans="1:20" customFormat="1" ht="272.35000000000002">
      <c r="A1193" s="167" t="s">
        <v>208</v>
      </c>
      <c r="B1193" s="167" t="s">
        <v>463</v>
      </c>
      <c r="C1193" s="167" t="s">
        <v>464</v>
      </c>
      <c r="D1193" s="172">
        <f>29600000*'Dev Bank Share by Country'!$C$184</f>
        <v>5070480</v>
      </c>
      <c r="E1193" s="173" t="s">
        <v>266</v>
      </c>
      <c r="F1193" s="173" t="s">
        <v>444</v>
      </c>
      <c r="G1193" s="262" t="s">
        <v>781</v>
      </c>
      <c r="H1193" s="173" t="s">
        <v>85</v>
      </c>
      <c r="I1193" s="173" t="s">
        <v>284</v>
      </c>
      <c r="J1193" s="173" t="s">
        <v>1498</v>
      </c>
      <c r="K1193" s="241">
        <v>41163</v>
      </c>
      <c r="L1193" s="173" t="s">
        <v>825</v>
      </c>
      <c r="M1193" s="262"/>
      <c r="N1193" s="256"/>
      <c r="O1193" s="461">
        <f>CompletedProjects[[#This Row],[Power Plant Size (MW) or Share]]*0.593*9057*211.9*10^(-9)</f>
        <v>0</v>
      </c>
      <c r="P1193" s="337">
        <f>CompletedProjects[[#This Row],[Annual Emissions (MMTCO2)]]*40</f>
        <v>0</v>
      </c>
      <c r="Q1193" s="167"/>
      <c r="R1193" s="167" t="s">
        <v>400</v>
      </c>
      <c r="S1193" s="167" t="s">
        <v>465</v>
      </c>
      <c r="T1193" s="167"/>
    </row>
    <row r="1194" spans="1:20" customFormat="1" ht="71.7">
      <c r="A1194" s="167" t="s">
        <v>208</v>
      </c>
      <c r="B1194" s="186" t="s">
        <v>519</v>
      </c>
      <c r="C1194" s="186" t="s">
        <v>464</v>
      </c>
      <c r="D1194" s="172">
        <f>500000*'Dev Bank Share by Country'!$K$184</f>
        <v>77570</v>
      </c>
      <c r="E1194" s="173" t="s">
        <v>531</v>
      </c>
      <c r="F1194" s="173" t="s">
        <v>532</v>
      </c>
      <c r="G1194" s="262"/>
      <c r="H1194" s="173" t="s">
        <v>239</v>
      </c>
      <c r="I1194" s="180" t="s">
        <v>283</v>
      </c>
      <c r="J1194" s="173" t="s">
        <v>26</v>
      </c>
      <c r="K1194" s="241">
        <v>40035</v>
      </c>
      <c r="L1194" s="173" t="s">
        <v>1710</v>
      </c>
      <c r="M1194" s="262"/>
      <c r="N1194" s="337">
        <f>600/13</f>
        <v>46.153846153846153</v>
      </c>
      <c r="O1194" s="461">
        <f>CompletedProjects[[#This Row],[Power Plant Size (MW) or Share]]*0.593*9057*211.9*10^(-9)</f>
        <v>5.2526433780000006E-2</v>
      </c>
      <c r="P1194" s="337">
        <f>CompletedProjects[[#This Row],[Annual Emissions (MMTCO2)]]*40</f>
        <v>2.1010573512000001</v>
      </c>
      <c r="Q1194" s="176"/>
      <c r="R1194" s="178" t="s">
        <v>524</v>
      </c>
      <c r="S1194" s="167"/>
      <c r="T1194" s="178"/>
    </row>
    <row r="1195" spans="1:20" customFormat="1" ht="43">
      <c r="A1195" s="167" t="s">
        <v>208</v>
      </c>
      <c r="B1195" s="182" t="s">
        <v>559</v>
      </c>
      <c r="C1195" s="182" t="s">
        <v>464</v>
      </c>
      <c r="D1195" s="172">
        <v>1594847.0437872568</v>
      </c>
      <c r="E1195" s="173" t="s">
        <v>598</v>
      </c>
      <c r="F1195" s="173" t="s">
        <v>598</v>
      </c>
      <c r="G1195" s="262" t="s">
        <v>798</v>
      </c>
      <c r="H1195" s="173" t="s">
        <v>201</v>
      </c>
      <c r="I1195" s="173" t="s">
        <v>40</v>
      </c>
      <c r="J1195" s="173" t="s">
        <v>40</v>
      </c>
      <c r="K1195" s="240">
        <v>40199</v>
      </c>
      <c r="L1195" s="269" t="s">
        <v>1691</v>
      </c>
      <c r="M1195" s="262"/>
      <c r="N1195" s="337"/>
      <c r="O1195" s="461">
        <f>CompletedProjects[[#This Row],[Power Plant Size (MW) or Share]]*0.593*9057*211.9*10^(-9)</f>
        <v>0</v>
      </c>
      <c r="P1195" s="337">
        <f>CompletedProjects[[#This Row],[Annual Emissions (MMTCO2)]]*40</f>
        <v>0</v>
      </c>
      <c r="Q1195" s="176"/>
      <c r="R1195" s="178"/>
      <c r="S1195" s="167"/>
      <c r="T1195" s="178"/>
    </row>
    <row r="1196" spans="1:20" customFormat="1" ht="157.69999999999999">
      <c r="A1196" s="167" t="s">
        <v>208</v>
      </c>
      <c r="B1196" s="167" t="s">
        <v>512</v>
      </c>
      <c r="C1196" s="167" t="s">
        <v>464</v>
      </c>
      <c r="D1196" s="172">
        <f>2000000*'Dev Bank Share by Country'!$E$184</f>
        <v>209875.36274098812</v>
      </c>
      <c r="E1196" s="173" t="s">
        <v>410</v>
      </c>
      <c r="F1196" s="173" t="s">
        <v>411</v>
      </c>
      <c r="G1196" s="262" t="s">
        <v>777</v>
      </c>
      <c r="H1196" s="173" t="s">
        <v>412</v>
      </c>
      <c r="I1196" s="173" t="s">
        <v>284</v>
      </c>
      <c r="J1196" s="173" t="s">
        <v>1498</v>
      </c>
      <c r="K1196" s="241">
        <v>39261</v>
      </c>
      <c r="L1196" s="173" t="s">
        <v>916</v>
      </c>
      <c r="M1196" s="262"/>
      <c r="N1196" s="256"/>
      <c r="O1196" s="461">
        <f>CompletedProjects[[#This Row],[Power Plant Size (MW) or Share]]*0.593*9057*211.9*10^(-9)</f>
        <v>0</v>
      </c>
      <c r="P1196" s="337">
        <f>CompletedProjects[[#This Row],[Annual Emissions (MMTCO2)]]*40</f>
        <v>0</v>
      </c>
      <c r="Q1196" s="167"/>
      <c r="R1196" s="167" t="s">
        <v>400</v>
      </c>
      <c r="S1196" s="167" t="s">
        <v>633</v>
      </c>
      <c r="T1196" s="167"/>
    </row>
    <row r="1197" spans="1:20" customFormat="1" ht="114.7">
      <c r="A1197" s="167" t="s">
        <v>208</v>
      </c>
      <c r="B1197" s="167" t="s">
        <v>513</v>
      </c>
      <c r="C1197" s="167" t="s">
        <v>464</v>
      </c>
      <c r="D1197" s="172">
        <f>3040000000*'Dev Bank Share by Country'!$C$185</f>
        <v>4864000</v>
      </c>
      <c r="E1197" s="173" t="s">
        <v>41</v>
      </c>
      <c r="F1197" s="173" t="s">
        <v>432</v>
      </c>
      <c r="G1197" s="262" t="s">
        <v>773</v>
      </c>
      <c r="H1197" s="173" t="s">
        <v>25</v>
      </c>
      <c r="I1197" s="180" t="s">
        <v>283</v>
      </c>
      <c r="J1197" s="173" t="s">
        <v>26</v>
      </c>
      <c r="K1197" s="241">
        <v>40276</v>
      </c>
      <c r="L1197" s="173" t="s">
        <v>923</v>
      </c>
      <c r="M1197" s="273"/>
      <c r="N1197" s="337">
        <f>4800/19/2</f>
        <v>126.31578947368421</v>
      </c>
      <c r="O1197" s="461">
        <f>CompletedProjects[[#This Row],[Power Plant Size (MW) or Share]]*0.593*9057*211.9*10^(-9)</f>
        <v>0.14375655560842107</v>
      </c>
      <c r="P1197" s="337">
        <f>CompletedProjects[[#This Row],[Annual Emissions (MMTCO2)]]*40</f>
        <v>5.7502622243368426</v>
      </c>
      <c r="Q1197" s="167"/>
      <c r="R1197" s="178" t="s">
        <v>643</v>
      </c>
      <c r="S1197" s="167" t="s">
        <v>465</v>
      </c>
      <c r="T1197" s="178"/>
    </row>
    <row r="1198" spans="1:20" customFormat="1" ht="43">
      <c r="A1198" s="181" t="s">
        <v>208</v>
      </c>
      <c r="B1198" s="182" t="s">
        <v>559</v>
      </c>
      <c r="C1198" s="182" t="s">
        <v>464</v>
      </c>
      <c r="D1198" s="172">
        <v>1878732.0065407231</v>
      </c>
      <c r="E1198" s="173" t="s">
        <v>592</v>
      </c>
      <c r="F1198" s="173" t="s">
        <v>593</v>
      </c>
      <c r="G1198" s="262" t="s">
        <v>795</v>
      </c>
      <c r="H1198" s="173" t="s">
        <v>201</v>
      </c>
      <c r="I1198" s="173" t="s">
        <v>40</v>
      </c>
      <c r="J1198" s="173" t="s">
        <v>40</v>
      </c>
      <c r="K1198" s="240">
        <v>39854</v>
      </c>
      <c r="L1198" s="183" t="s">
        <v>1689</v>
      </c>
      <c r="M1198" s="262"/>
      <c r="N1198" s="337"/>
      <c r="O1198" s="461">
        <f>CompletedProjects[[#This Row],[Power Plant Size (MW) or Share]]*0.593*9057*211.9*10^(-9)</f>
        <v>0</v>
      </c>
      <c r="P1198" s="337">
        <f>CompletedProjects[[#This Row],[Annual Emissions (MMTCO2)]]*40</f>
        <v>0</v>
      </c>
      <c r="Q1198" s="176"/>
      <c r="R1198" s="173" t="s">
        <v>907</v>
      </c>
      <c r="S1198" s="167"/>
      <c r="T1198" s="173"/>
    </row>
    <row r="1199" spans="1:20" customFormat="1" ht="100.35">
      <c r="A1199" s="167" t="s">
        <v>208</v>
      </c>
      <c r="B1199" s="167" t="s">
        <v>513</v>
      </c>
      <c r="C1199" s="167" t="s">
        <v>464</v>
      </c>
      <c r="D1199" s="172">
        <f>379060000*'Dev Bank Share by Country'!$C$184</f>
        <v>64932978</v>
      </c>
      <c r="E1199" s="173" t="s">
        <v>429</v>
      </c>
      <c r="F1199" s="173" t="s">
        <v>430</v>
      </c>
      <c r="G1199" s="262" t="s">
        <v>779</v>
      </c>
      <c r="H1199" s="173" t="s">
        <v>431</v>
      </c>
      <c r="I1199" s="180" t="s">
        <v>283</v>
      </c>
      <c r="J1199" s="173" t="s">
        <v>26</v>
      </c>
      <c r="K1199" s="241">
        <v>40115</v>
      </c>
      <c r="L1199" s="173" t="s">
        <v>922</v>
      </c>
      <c r="M1199" s="262"/>
      <c r="N1199" s="337">
        <f>600/19/2</f>
        <v>15.789473684210526</v>
      </c>
      <c r="O1199" s="461">
        <f>CompletedProjects[[#This Row],[Power Plant Size (MW) or Share]]*0.593*9057*211.9*10^(-9)</f>
        <v>1.7969569451052634E-2</v>
      </c>
      <c r="P1199" s="337">
        <f>CompletedProjects[[#This Row],[Annual Emissions (MMTCO2)]]*40</f>
        <v>0.71878277804210533</v>
      </c>
      <c r="Q1199" s="167"/>
      <c r="R1199" s="178" t="s">
        <v>640</v>
      </c>
      <c r="S1199" s="167" t="s">
        <v>633</v>
      </c>
      <c r="T1199" s="178"/>
    </row>
    <row r="1200" spans="1:20" customFormat="1" ht="172">
      <c r="A1200" s="167" t="s">
        <v>208</v>
      </c>
      <c r="B1200" s="167" t="s">
        <v>512</v>
      </c>
      <c r="C1200" s="167" t="s">
        <v>464</v>
      </c>
      <c r="D1200" s="172">
        <f>12100000*'Dev Bank Share by Country'!$E$184</f>
        <v>1269745.944582978</v>
      </c>
      <c r="E1200" s="173" t="s">
        <v>451</v>
      </c>
      <c r="F1200" s="173" t="s">
        <v>452</v>
      </c>
      <c r="G1200" s="262" t="s">
        <v>793</v>
      </c>
      <c r="H1200" s="173" t="s">
        <v>453</v>
      </c>
      <c r="I1200" s="173" t="s">
        <v>284</v>
      </c>
      <c r="J1200" s="173" t="s">
        <v>1498</v>
      </c>
      <c r="K1200" s="241">
        <v>41471</v>
      </c>
      <c r="L1200" s="173" t="s">
        <v>926</v>
      </c>
      <c r="M1200" s="262" t="s">
        <v>898</v>
      </c>
      <c r="N1200" s="256"/>
      <c r="O1200" s="461">
        <f>CompletedProjects[[#This Row],[Power Plant Size (MW) or Share]]*0.593*9057*211.9*10^(-9)</f>
        <v>0</v>
      </c>
      <c r="P1200" s="337">
        <f>CompletedProjects[[#This Row],[Annual Emissions (MMTCO2)]]*40</f>
        <v>0</v>
      </c>
      <c r="Q1200" s="167"/>
      <c r="R1200" s="167" t="s">
        <v>400</v>
      </c>
      <c r="S1200" s="167" t="s">
        <v>633</v>
      </c>
      <c r="T1200" s="167" t="s">
        <v>537</v>
      </c>
    </row>
    <row r="1201" spans="1:20" customFormat="1" ht="215">
      <c r="A1201" s="167" t="s">
        <v>208</v>
      </c>
      <c r="B1201" s="167" t="s">
        <v>445</v>
      </c>
      <c r="C1201" s="167" t="s">
        <v>464</v>
      </c>
      <c r="D1201" s="172">
        <f>28000000*'Dev Bank Share by Country'!G184</f>
        <v>6212553.7712868834</v>
      </c>
      <c r="E1201" s="173" t="s">
        <v>446</v>
      </c>
      <c r="F1201" s="173" t="s">
        <v>447</v>
      </c>
      <c r="G1201" s="262" t="s">
        <v>782</v>
      </c>
      <c r="H1201" s="173" t="s">
        <v>201</v>
      </c>
      <c r="I1201" s="173" t="s">
        <v>284</v>
      </c>
      <c r="J1201" s="173" t="s">
        <v>1498</v>
      </c>
      <c r="K1201" s="241">
        <v>41333</v>
      </c>
      <c r="L1201" s="173" t="s">
        <v>832</v>
      </c>
      <c r="M1201" s="262"/>
      <c r="N1201" s="256">
        <f>750/19</f>
        <v>39.473684210526315</v>
      </c>
      <c r="O1201" s="461">
        <f>CompletedProjects[[#This Row],[Power Plant Size (MW) or Share]]*0.593*9057*211.9*10^(-9)</f>
        <v>4.4923923627631576E-2</v>
      </c>
      <c r="P1201" s="337">
        <f>CompletedProjects[[#This Row],[Annual Emissions (MMTCO2)]]*40</f>
        <v>1.7969569451052632</v>
      </c>
      <c r="Q1201" s="167"/>
      <c r="R1201" s="167" t="s">
        <v>639</v>
      </c>
      <c r="S1201" s="167"/>
      <c r="T1201" s="167"/>
    </row>
    <row r="1202" spans="1:20" customFormat="1" ht="86">
      <c r="A1202" s="167" t="s">
        <v>208</v>
      </c>
      <c r="B1202" s="167" t="s">
        <v>511</v>
      </c>
      <c r="C1202" s="167" t="s">
        <v>464</v>
      </c>
      <c r="D1202" s="172">
        <f>45500000*'Dev Bank Share by Country'!$G$184</f>
        <v>10095399.878341185</v>
      </c>
      <c r="E1202" s="173" t="s">
        <v>440</v>
      </c>
      <c r="F1202" s="173" t="s">
        <v>441</v>
      </c>
      <c r="G1202" s="262" t="s">
        <v>771</v>
      </c>
      <c r="H1202" s="173" t="s">
        <v>442</v>
      </c>
      <c r="I1202" s="173" t="s">
        <v>40</v>
      </c>
      <c r="J1202" s="173" t="s">
        <v>443</v>
      </c>
      <c r="K1202" s="241">
        <v>41060</v>
      </c>
      <c r="L1202" s="173" t="s">
        <v>924</v>
      </c>
      <c r="M1202" s="273"/>
      <c r="N1202" s="256"/>
      <c r="O1202" s="461">
        <f>CompletedProjects[[#This Row],[Power Plant Size (MW) or Share]]*0.593*9057*211.9*10^(-9)</f>
        <v>0</v>
      </c>
      <c r="P1202" s="337">
        <f>CompletedProjects[[#This Row],[Annual Emissions (MMTCO2)]]*40</f>
        <v>0</v>
      </c>
      <c r="Q1202" s="167"/>
      <c r="R1202" s="167" t="s">
        <v>400</v>
      </c>
      <c r="S1202" s="167" t="s">
        <v>465</v>
      </c>
      <c r="T1202" s="167"/>
    </row>
    <row r="1203" spans="1:20" customFormat="1" ht="71.7">
      <c r="A1203" s="167" t="s">
        <v>208</v>
      </c>
      <c r="B1203" s="186" t="s">
        <v>519</v>
      </c>
      <c r="C1203" s="186" t="s">
        <v>464</v>
      </c>
      <c r="D1203" s="172">
        <f>900525000*'Dev Bank Share by Country'!$K$184</f>
        <v>139707448.5</v>
      </c>
      <c r="E1203" s="173" t="s">
        <v>510</v>
      </c>
      <c r="F1203" s="173" t="s">
        <v>541</v>
      </c>
      <c r="G1203" s="262"/>
      <c r="H1203" s="173" t="s">
        <v>442</v>
      </c>
      <c r="I1203" s="180" t="s">
        <v>283</v>
      </c>
      <c r="J1203" s="173" t="s">
        <v>26</v>
      </c>
      <c r="K1203" s="241">
        <v>41617</v>
      </c>
      <c r="L1203" s="178" t="s">
        <v>1712</v>
      </c>
      <c r="M1203" s="262" t="s">
        <v>902</v>
      </c>
      <c r="N1203" s="337">
        <f>600/13</f>
        <v>46.153846153846153</v>
      </c>
      <c r="O1203" s="461">
        <f>CompletedProjects[[#This Row],[Power Plant Size (MW) or Share]]*0.593*9057*211.9*10^(-9)</f>
        <v>5.2526433780000006E-2</v>
      </c>
      <c r="P1203" s="337">
        <f>CompletedProjects[[#This Row],[Annual Emissions (MMTCO2)]]*40</f>
        <v>2.1010573512000001</v>
      </c>
      <c r="Q1203" s="176"/>
      <c r="R1203" s="178" t="s">
        <v>524</v>
      </c>
      <c r="S1203" s="167"/>
      <c r="T1203" s="178"/>
    </row>
    <row r="1204" spans="1:20" customFormat="1" ht="114.7">
      <c r="A1204" s="167" t="s">
        <v>208</v>
      </c>
      <c r="B1204" s="167" t="s">
        <v>512</v>
      </c>
      <c r="C1204" s="167" t="s">
        <v>464</v>
      </c>
      <c r="D1204" s="172">
        <f>280000*'Dev Bank Share by Country'!$E$184</f>
        <v>29382.550783738337</v>
      </c>
      <c r="E1204" s="173" t="s">
        <v>437</v>
      </c>
      <c r="F1204" s="173" t="s">
        <v>438</v>
      </c>
      <c r="G1204" s="262" t="s">
        <v>790</v>
      </c>
      <c r="H1204" s="173" t="s">
        <v>439</v>
      </c>
      <c r="I1204" s="173" t="s">
        <v>284</v>
      </c>
      <c r="J1204" s="173" t="s">
        <v>1498</v>
      </c>
      <c r="K1204" s="241">
        <v>41039</v>
      </c>
      <c r="L1204" s="173" t="s">
        <v>897</v>
      </c>
      <c r="M1204" s="273" t="s">
        <v>780</v>
      </c>
      <c r="N1204" s="256"/>
      <c r="O1204" s="461">
        <f>CompletedProjects[[#This Row],[Power Plant Size (MW) or Share]]*0.593*9057*211.9*10^(-9)</f>
        <v>0</v>
      </c>
      <c r="P1204" s="337">
        <f>CompletedProjects[[#This Row],[Annual Emissions (MMTCO2)]]*40</f>
        <v>0</v>
      </c>
      <c r="Q1204" s="167"/>
      <c r="R1204" s="167" t="s">
        <v>400</v>
      </c>
      <c r="S1204" s="167" t="s">
        <v>465</v>
      </c>
      <c r="T1204" s="167"/>
    </row>
    <row r="1205" spans="1:20" customFormat="1" ht="43">
      <c r="A1205" s="167" t="s">
        <v>208</v>
      </c>
      <c r="B1205" s="171" t="s">
        <v>559</v>
      </c>
      <c r="C1205" s="171" t="s">
        <v>464</v>
      </c>
      <c r="D1205" s="172">
        <v>3413926.8738524751</v>
      </c>
      <c r="E1205" s="173" t="s">
        <v>608</v>
      </c>
      <c r="F1205" s="173" t="s">
        <v>609</v>
      </c>
      <c r="G1205" s="262" t="s">
        <v>803</v>
      </c>
      <c r="H1205" s="173" t="s">
        <v>368</v>
      </c>
      <c r="I1205" s="180" t="s">
        <v>284</v>
      </c>
      <c r="J1205" s="180" t="s">
        <v>284</v>
      </c>
      <c r="K1205" s="240">
        <v>40869</v>
      </c>
      <c r="L1205" s="173" t="s">
        <v>1694</v>
      </c>
      <c r="M1205" s="262"/>
      <c r="N1205" s="337"/>
      <c r="O1205" s="461">
        <f>CompletedProjects[[#This Row],[Power Plant Size (MW) or Share]]*0.593*9057*211.9*10^(-9)</f>
        <v>0</v>
      </c>
      <c r="P1205" s="337">
        <f>CompletedProjects[[#This Row],[Annual Emissions (MMTCO2)]]*40</f>
        <v>0</v>
      </c>
      <c r="Q1205" s="176"/>
      <c r="R1205" s="178"/>
      <c r="S1205" s="167"/>
      <c r="T1205" s="178"/>
    </row>
    <row r="1206" spans="1:20" customFormat="1" ht="57.35">
      <c r="A1206" s="167" t="s">
        <v>208</v>
      </c>
      <c r="B1206" s="182" t="s">
        <v>559</v>
      </c>
      <c r="C1206" s="182" t="s">
        <v>464</v>
      </c>
      <c r="D1206" s="172">
        <v>2872756.2434788235</v>
      </c>
      <c r="E1206" s="173" t="s">
        <v>596</v>
      </c>
      <c r="F1206" s="173" t="s">
        <v>597</v>
      </c>
      <c r="G1206" s="262" t="s">
        <v>797</v>
      </c>
      <c r="H1206" s="173" t="s">
        <v>493</v>
      </c>
      <c r="I1206" s="180" t="s">
        <v>283</v>
      </c>
      <c r="J1206" s="173" t="s">
        <v>277</v>
      </c>
      <c r="K1206" s="240">
        <v>40052</v>
      </c>
      <c r="L1206" s="269" t="s">
        <v>1690</v>
      </c>
      <c r="M1206" s="262" t="s">
        <v>903</v>
      </c>
      <c r="N1206" s="337"/>
      <c r="O1206" s="461">
        <f>CompletedProjects[[#This Row],[Power Plant Size (MW) or Share]]*0.593*9057*211.9*10^(-9)</f>
        <v>0</v>
      </c>
      <c r="P1206" s="337">
        <f>CompletedProjects[[#This Row],[Annual Emissions (MMTCO2)]]*40</f>
        <v>0</v>
      </c>
      <c r="Q1206" s="176"/>
      <c r="R1206" s="178"/>
      <c r="S1206" s="167"/>
      <c r="T1206" s="178"/>
    </row>
    <row r="1207" spans="1:20" customFormat="1" ht="43">
      <c r="A1207" s="167" t="s">
        <v>208</v>
      </c>
      <c r="B1207" s="167" t="s">
        <v>511</v>
      </c>
      <c r="C1207" s="167" t="s">
        <v>464</v>
      </c>
      <c r="D1207" s="172">
        <f>740000000*'Dev Bank Share by Country'!$G$184</f>
        <v>164188921.0982962</v>
      </c>
      <c r="E1207" s="173" t="s">
        <v>418</v>
      </c>
      <c r="F1207" s="173" t="s">
        <v>419</v>
      </c>
      <c r="G1207" s="262" t="s">
        <v>765</v>
      </c>
      <c r="H1207" s="173" t="s">
        <v>144</v>
      </c>
      <c r="I1207" s="180" t="s">
        <v>283</v>
      </c>
      <c r="J1207" s="173" t="s">
        <v>26</v>
      </c>
      <c r="K1207" s="241">
        <v>39520</v>
      </c>
      <c r="L1207" s="202" t="s">
        <v>817</v>
      </c>
      <c r="M1207" s="451"/>
      <c r="N1207" s="256">
        <f>330/19</f>
        <v>17.368421052631579</v>
      </c>
      <c r="O1207" s="461">
        <f>CompletedProjects[[#This Row],[Power Plant Size (MW) or Share]]*0.593*9057*211.9*10^(-9)</f>
        <v>1.9766526396157894E-2</v>
      </c>
      <c r="P1207" s="337">
        <f>CompletedProjects[[#This Row],[Annual Emissions (MMTCO2)]]*40</f>
        <v>0.79066105584631574</v>
      </c>
      <c r="Q1207" s="167"/>
      <c r="R1207" s="167" t="s">
        <v>400</v>
      </c>
      <c r="S1207" s="167" t="s">
        <v>633</v>
      </c>
      <c r="T1207" s="167"/>
    </row>
    <row r="1208" spans="1:20" customFormat="1" ht="71.7">
      <c r="A1208" s="167" t="s">
        <v>208</v>
      </c>
      <c r="B1208" s="186" t="s">
        <v>519</v>
      </c>
      <c r="C1208" s="186" t="s">
        <v>464</v>
      </c>
      <c r="D1208" s="172">
        <f>350000*'Dev Bank Share by Country'!$K$184</f>
        <v>54299</v>
      </c>
      <c r="E1208" s="173" t="s">
        <v>542</v>
      </c>
      <c r="F1208" s="173" t="s">
        <v>543</v>
      </c>
      <c r="G1208" s="262"/>
      <c r="H1208" s="173" t="s">
        <v>201</v>
      </c>
      <c r="I1208" s="173" t="s">
        <v>40</v>
      </c>
      <c r="J1208" s="173" t="s">
        <v>40</v>
      </c>
      <c r="K1208" s="241">
        <v>41977</v>
      </c>
      <c r="L1208" s="173" t="s">
        <v>1713</v>
      </c>
      <c r="M1208" s="262" t="s">
        <v>805</v>
      </c>
      <c r="N1208" s="102"/>
      <c r="O1208" s="461">
        <f>CompletedProjects[[#This Row],[Power Plant Size (MW) or Share]]*0.593*9057*211.9*10^(-9)</f>
        <v>0</v>
      </c>
      <c r="P1208" s="337">
        <f>CompletedProjects[[#This Row],[Annual Emissions (MMTCO2)]]*40</f>
        <v>0</v>
      </c>
      <c r="Q1208" s="173"/>
      <c r="R1208" s="178"/>
      <c r="S1208" s="167"/>
      <c r="T1208" s="178"/>
    </row>
    <row r="1209" spans="1:20" customFormat="1" ht="86">
      <c r="A1209" s="167" t="s">
        <v>208</v>
      </c>
      <c r="B1209" s="167" t="s">
        <v>511</v>
      </c>
      <c r="C1209" s="167" t="s">
        <v>464</v>
      </c>
      <c r="D1209" s="172">
        <f>25000000*'Dev Bank Share by Country'!$G$184</f>
        <v>5546923.0100775743</v>
      </c>
      <c r="E1209" s="173" t="s">
        <v>398</v>
      </c>
      <c r="F1209" s="173" t="s">
        <v>398</v>
      </c>
      <c r="G1209" s="262" t="s">
        <v>787</v>
      </c>
      <c r="H1209" s="173" t="s">
        <v>399</v>
      </c>
      <c r="I1209" s="180" t="s">
        <v>283</v>
      </c>
      <c r="J1209" s="173" t="s">
        <v>26</v>
      </c>
      <c r="K1209" s="241">
        <v>39204</v>
      </c>
      <c r="L1209" s="197"/>
      <c r="M1209" s="262" t="s">
        <v>806</v>
      </c>
      <c r="N1209" s="256">
        <f>30/20</f>
        <v>1.5</v>
      </c>
      <c r="O1209" s="461">
        <f>CompletedProjects[[#This Row],[Power Plant Size (MW) or Share]]*0.593*9057*211.9*10^(-9)</f>
        <v>1.7071090978499999E-3</v>
      </c>
      <c r="P1209" s="337">
        <f>CompletedProjects[[#This Row],[Annual Emissions (MMTCO2)]]*40</f>
        <v>6.8284363914000001E-2</v>
      </c>
      <c r="Q1209" s="167"/>
      <c r="R1209" s="173" t="s">
        <v>823</v>
      </c>
      <c r="S1209" s="167" t="s">
        <v>465</v>
      </c>
      <c r="T1209" s="173"/>
    </row>
    <row r="1210" spans="1:20" customFormat="1" ht="43">
      <c r="A1210" s="218" t="s">
        <v>208</v>
      </c>
      <c r="B1210" s="218" t="s">
        <v>559</v>
      </c>
      <c r="C1210" s="218" t="s">
        <v>464</v>
      </c>
      <c r="D1210" s="172">
        <v>5631965.7524211816</v>
      </c>
      <c r="E1210" s="173" t="s">
        <v>602</v>
      </c>
      <c r="F1210" s="173" t="s">
        <v>603</v>
      </c>
      <c r="G1210" s="262" t="s">
        <v>801</v>
      </c>
      <c r="H1210" s="173" t="s">
        <v>39</v>
      </c>
      <c r="I1210" s="180" t="s">
        <v>283</v>
      </c>
      <c r="J1210" s="173" t="s">
        <v>277</v>
      </c>
      <c r="K1210" s="240">
        <v>40561</v>
      </c>
      <c r="L1210" s="173" t="s">
        <v>910</v>
      </c>
      <c r="M1210" s="262"/>
      <c r="N1210" s="337">
        <f>60/12</f>
        <v>5</v>
      </c>
      <c r="O1210" s="461">
        <f>CompletedProjects[[#This Row],[Power Plant Size (MW) or Share]]*0.593*9057*211.9*10^(-9)</f>
        <v>5.6903636594999992E-3</v>
      </c>
      <c r="P1210" s="337">
        <f>CompletedProjects[[#This Row],[Annual Emissions (MMTCO2)]]*40</f>
        <v>0.22761454637999998</v>
      </c>
      <c r="Q1210" s="176"/>
      <c r="R1210" s="178" t="s">
        <v>537</v>
      </c>
      <c r="S1210" s="167"/>
      <c r="T1210" s="178"/>
    </row>
    <row r="1211" spans="1:20" customFormat="1" ht="57.35">
      <c r="A1211" s="167" t="s">
        <v>208</v>
      </c>
      <c r="B1211" s="182" t="s">
        <v>559</v>
      </c>
      <c r="C1211" s="182" t="s">
        <v>464</v>
      </c>
      <c r="D1211" s="172">
        <v>7103395.5789456656</v>
      </c>
      <c r="E1211" s="173" t="s">
        <v>610</v>
      </c>
      <c r="F1211" s="173" t="s">
        <v>610</v>
      </c>
      <c r="G1211" s="262" t="s">
        <v>1604</v>
      </c>
      <c r="H1211" s="173" t="s">
        <v>368</v>
      </c>
      <c r="I1211" s="173" t="s">
        <v>40</v>
      </c>
      <c r="J1211" s="173" t="s">
        <v>40</v>
      </c>
      <c r="K1211" s="240">
        <v>41264</v>
      </c>
      <c r="L1211" s="173" t="s">
        <v>1695</v>
      </c>
      <c r="M1211" s="262"/>
      <c r="N1211" s="337"/>
      <c r="O1211" s="461">
        <f>CompletedProjects[[#This Row],[Power Plant Size (MW) or Share]]*0.593*9057*211.9*10^(-9)</f>
        <v>0</v>
      </c>
      <c r="P1211" s="337">
        <f>CompletedProjects[[#This Row],[Annual Emissions (MMTCO2)]]*40</f>
        <v>0</v>
      </c>
      <c r="Q1211" s="176"/>
      <c r="R1211" s="178"/>
      <c r="S1211" s="167"/>
      <c r="T1211" s="178"/>
    </row>
    <row r="1212" spans="1:20" customFormat="1" ht="258">
      <c r="A1212" s="167" t="s">
        <v>208</v>
      </c>
      <c r="B1212" s="167" t="s">
        <v>512</v>
      </c>
      <c r="C1212" s="167" t="s">
        <v>464</v>
      </c>
      <c r="D1212" s="172">
        <f>11000000*'Dev Bank Share by Country'!$E$184</f>
        <v>1154314.4950754347</v>
      </c>
      <c r="E1212" s="173" t="s">
        <v>420</v>
      </c>
      <c r="F1212" s="173" t="s">
        <v>421</v>
      </c>
      <c r="G1212" s="262" t="s">
        <v>769</v>
      </c>
      <c r="H1212" s="173" t="s">
        <v>422</v>
      </c>
      <c r="I1212" s="180" t="s">
        <v>283</v>
      </c>
      <c r="J1212" s="173" t="s">
        <v>277</v>
      </c>
      <c r="K1212" s="241">
        <v>39777</v>
      </c>
      <c r="L1212" s="197"/>
      <c r="M1212" s="273"/>
      <c r="N1212" s="256"/>
      <c r="O1212" s="461">
        <f>CompletedProjects[[#This Row],[Power Plant Size (MW) or Share]]*0.593*9057*211.9*10^(-9)</f>
        <v>0</v>
      </c>
      <c r="P1212" s="337">
        <f>CompletedProjects[[#This Row],[Annual Emissions (MMTCO2)]]*40</f>
        <v>0</v>
      </c>
      <c r="Q1212" s="167"/>
      <c r="R1212" s="173" t="s">
        <v>834</v>
      </c>
      <c r="S1212" s="167" t="s">
        <v>633</v>
      </c>
      <c r="T1212" s="173"/>
    </row>
    <row r="1213" spans="1:20" customFormat="1" ht="215">
      <c r="A1213" s="167" t="s">
        <v>208</v>
      </c>
      <c r="B1213" s="167" t="s">
        <v>512</v>
      </c>
      <c r="C1213" s="167" t="s">
        <v>464</v>
      </c>
      <c r="D1213" s="172">
        <f>200000000*'Dev Bank Share by Country'!$E$184</f>
        <v>20987536.27409881</v>
      </c>
      <c r="E1213" s="173" t="s">
        <v>461</v>
      </c>
      <c r="F1213" s="173" t="s">
        <v>462</v>
      </c>
      <c r="G1213" s="262" t="s">
        <v>795</v>
      </c>
      <c r="H1213" s="173" t="s">
        <v>442</v>
      </c>
      <c r="I1213" s="173" t="s">
        <v>284</v>
      </c>
      <c r="J1213" s="173" t="s">
        <v>1498</v>
      </c>
      <c r="K1213" s="241">
        <v>41760</v>
      </c>
      <c r="L1213" s="173" t="s">
        <v>831</v>
      </c>
      <c r="M1213" s="262" t="s">
        <v>830</v>
      </c>
      <c r="N1213" s="256"/>
      <c r="O1213" s="461">
        <f>CompletedProjects[[#This Row],[Power Plant Size (MW) or Share]]*0.593*9057*211.9*10^(-9)</f>
        <v>0</v>
      </c>
      <c r="P1213" s="337">
        <f>CompletedProjects[[#This Row],[Annual Emissions (MMTCO2)]]*40</f>
        <v>0</v>
      </c>
      <c r="Q1213" s="167"/>
      <c r="R1213" s="167" t="s">
        <v>400</v>
      </c>
      <c r="S1213" s="167" t="s">
        <v>465</v>
      </c>
      <c r="T1213" s="167"/>
    </row>
    <row r="1214" spans="1:20" customFormat="1" ht="28.7">
      <c r="A1214" s="181" t="s">
        <v>208</v>
      </c>
      <c r="B1214" s="182" t="s">
        <v>519</v>
      </c>
      <c r="C1214" s="182" t="s">
        <v>464</v>
      </c>
      <c r="D1214" s="172">
        <f>70500000*'Dev Bank Share by Country'!$K$184</f>
        <v>10937370</v>
      </c>
      <c r="E1214" s="183" t="s">
        <v>1400</v>
      </c>
      <c r="F1214" s="183" t="s">
        <v>1399</v>
      </c>
      <c r="G1214" s="267" t="s">
        <v>1401</v>
      </c>
      <c r="H1214" s="183" t="s">
        <v>273</v>
      </c>
      <c r="I1214" s="180" t="s">
        <v>283</v>
      </c>
      <c r="J1214" s="183" t="s">
        <v>26</v>
      </c>
      <c r="K1214" s="242">
        <v>40813</v>
      </c>
      <c r="L1214" s="183" t="s">
        <v>1711</v>
      </c>
      <c r="M1214" s="267"/>
      <c r="N1214" s="338"/>
      <c r="O1214" s="461">
        <f>CompletedProjects[[#This Row],[Power Plant Size (MW) or Share]]*0.593*9057*211.9*10^(-9)</f>
        <v>0</v>
      </c>
      <c r="P1214" s="337">
        <f>CompletedProjects[[#This Row],[Annual Emissions (MMTCO2)]]*40</f>
        <v>0</v>
      </c>
      <c r="Q1214" s="169"/>
      <c r="R1214" s="185"/>
      <c r="S1214" s="181"/>
      <c r="T1214" s="185"/>
    </row>
    <row r="1215" spans="1:20" customFormat="1" ht="57.35">
      <c r="A1215" s="167" t="s">
        <v>208</v>
      </c>
      <c r="B1215" s="167" t="s">
        <v>519</v>
      </c>
      <c r="C1215" s="194" t="s">
        <v>464</v>
      </c>
      <c r="D1215" s="172">
        <f>200000000*'Dev Bank Share by Country'!$K$184</f>
        <v>31028000</v>
      </c>
      <c r="E1215" s="173" t="s">
        <v>413</v>
      </c>
      <c r="F1215" s="173" t="s">
        <v>523</v>
      </c>
      <c r="G1215" s="262"/>
      <c r="H1215" s="173" t="s">
        <v>95</v>
      </c>
      <c r="I1215" s="180" t="s">
        <v>283</v>
      </c>
      <c r="J1215" s="173" t="s">
        <v>277</v>
      </c>
      <c r="K1215" s="241">
        <v>39554</v>
      </c>
      <c r="L1215" s="167" t="s">
        <v>1319</v>
      </c>
      <c r="M1215" s="262"/>
      <c r="N1215" s="256">
        <f>600/13/2</f>
        <v>23.076923076923077</v>
      </c>
      <c r="O1215" s="461">
        <f>CompletedProjects[[#This Row],[Power Plant Size (MW) or Share]]*0.593*9057*211.9*10^(-9)</f>
        <v>2.6263216890000003E-2</v>
      </c>
      <c r="P1215" s="337">
        <f>CompletedProjects[[#This Row],[Annual Emissions (MMTCO2)]]*40</f>
        <v>1.0505286756000001</v>
      </c>
      <c r="Q1215" s="203"/>
      <c r="R1215" s="167" t="s">
        <v>641</v>
      </c>
      <c r="S1215" s="167"/>
      <c r="T1215" s="167"/>
    </row>
    <row r="1216" spans="1:20" customFormat="1" ht="43">
      <c r="A1216" s="167" t="s">
        <v>208</v>
      </c>
      <c r="B1216" s="171" t="s">
        <v>191</v>
      </c>
      <c r="C1216" s="171" t="s">
        <v>336</v>
      </c>
      <c r="D1216" s="172">
        <v>20199060</v>
      </c>
      <c r="E1216" s="173"/>
      <c r="F1216" s="173" t="s">
        <v>296</v>
      </c>
      <c r="G1216" s="262" t="s">
        <v>704</v>
      </c>
      <c r="H1216" s="173" t="s">
        <v>65</v>
      </c>
      <c r="I1216" s="173" t="s">
        <v>40</v>
      </c>
      <c r="J1216" s="173" t="s">
        <v>40</v>
      </c>
      <c r="K1216" s="241">
        <v>39646</v>
      </c>
      <c r="L1216" s="173"/>
      <c r="M1216" s="262"/>
      <c r="N1216" s="337"/>
      <c r="O1216" s="461">
        <f>CompletedProjects[[#This Row],[Power Plant Size (MW) or Share]]*0.593*9057*211.9*10^(-9)</f>
        <v>0</v>
      </c>
      <c r="P1216" s="337">
        <f>CompletedProjects[[#This Row],[Annual Emissions (MMTCO2)]]*40</f>
        <v>0</v>
      </c>
      <c r="Q1216" s="176"/>
      <c r="R1216" s="178"/>
      <c r="S1216" s="167"/>
      <c r="T1216" s="178"/>
    </row>
    <row r="1217" spans="1:20" customFormat="1" ht="43">
      <c r="A1217" s="167" t="s">
        <v>208</v>
      </c>
      <c r="B1217" s="167" t="s">
        <v>519</v>
      </c>
      <c r="C1217" s="194" t="s">
        <v>464</v>
      </c>
      <c r="D1217" s="172">
        <f>27860000*'Dev Bank Share by Country'!$K$184</f>
        <v>4322200.4000000004</v>
      </c>
      <c r="E1217" s="173" t="s">
        <v>520</v>
      </c>
      <c r="F1217" s="173" t="s">
        <v>521</v>
      </c>
      <c r="G1217" s="262"/>
      <c r="H1217" s="173" t="s">
        <v>63</v>
      </c>
      <c r="I1217" s="180" t="s">
        <v>283</v>
      </c>
      <c r="J1217" s="173" t="s">
        <v>26</v>
      </c>
      <c r="K1217" s="241">
        <v>39357</v>
      </c>
      <c r="L1217" s="167" t="s">
        <v>1320</v>
      </c>
      <c r="M1217" s="262"/>
      <c r="N1217" s="256">
        <f>1080/13</f>
        <v>83.07692307692308</v>
      </c>
      <c r="O1217" s="461">
        <f>CompletedProjects[[#This Row],[Power Plant Size (MW) or Share]]*0.593*9057*211.9*10^(-9)</f>
        <v>9.4547580804000012E-2</v>
      </c>
      <c r="P1217" s="337">
        <f>CompletedProjects[[#This Row],[Annual Emissions (MMTCO2)]]*40</f>
        <v>3.7819032321600003</v>
      </c>
      <c r="Q1217" s="203"/>
      <c r="R1217" s="167" t="s">
        <v>522</v>
      </c>
      <c r="S1217" s="167"/>
      <c r="T1217" s="167"/>
    </row>
    <row r="1218" spans="1:20" customFormat="1" ht="114.7">
      <c r="A1218" s="167" t="s">
        <v>208</v>
      </c>
      <c r="B1218" s="171" t="s">
        <v>559</v>
      </c>
      <c r="C1218" s="171" t="s">
        <v>464</v>
      </c>
      <c r="D1218" s="172">
        <v>20230677.770977631</v>
      </c>
      <c r="E1218" s="173" t="s">
        <v>560</v>
      </c>
      <c r="F1218" s="173" t="s">
        <v>561</v>
      </c>
      <c r="G1218" s="262" t="s">
        <v>790</v>
      </c>
      <c r="H1218" s="173" t="s">
        <v>56</v>
      </c>
      <c r="I1218" s="173" t="s">
        <v>284</v>
      </c>
      <c r="J1218" s="173" t="s">
        <v>79</v>
      </c>
      <c r="K1218" s="240">
        <v>42278</v>
      </c>
      <c r="L1218" s="173" t="s">
        <v>865</v>
      </c>
      <c r="M1218" s="262" t="s">
        <v>866</v>
      </c>
      <c r="N1218" s="337"/>
      <c r="O1218" s="461">
        <f>CompletedProjects[[#This Row],[Power Plant Size (MW) or Share]]*0.593*9057*211.9*10^(-9)</f>
        <v>0</v>
      </c>
      <c r="P1218" s="337">
        <f>CompletedProjects[[#This Row],[Annual Emissions (MMTCO2)]]*40</f>
        <v>0</v>
      </c>
      <c r="Q1218" s="176"/>
      <c r="R1218" s="178"/>
      <c r="S1218" s="167"/>
      <c r="T1218" s="178"/>
    </row>
    <row r="1219" spans="1:20" customFormat="1" ht="28.7">
      <c r="A1219" s="183" t="s">
        <v>208</v>
      </c>
      <c r="B1219" s="183" t="s">
        <v>508</v>
      </c>
      <c r="C1219" s="183" t="s">
        <v>464</v>
      </c>
      <c r="D1219" s="172">
        <f>147000000*'Dev Bank Share by Country'!$O$184</f>
        <v>44140311.717503354</v>
      </c>
      <c r="E1219" s="173" t="s">
        <v>471</v>
      </c>
      <c r="F1219" s="173" t="s">
        <v>472</v>
      </c>
      <c r="G1219" s="262" t="s">
        <v>930</v>
      </c>
      <c r="H1219" s="173" t="s">
        <v>473</v>
      </c>
      <c r="I1219" s="180" t="s">
        <v>283</v>
      </c>
      <c r="J1219" s="173" t="s">
        <v>26</v>
      </c>
      <c r="K1219" s="241">
        <v>39892</v>
      </c>
      <c r="L1219" s="197"/>
      <c r="M1219" s="262"/>
      <c r="N1219" s="150">
        <f>720/12</f>
        <v>60</v>
      </c>
      <c r="O1219" s="461">
        <f>CompletedProjects[[#This Row],[Power Plant Size (MW) or Share]]*0.593*9057*211.9*10^(-9)</f>
        <v>6.8284363914000015E-2</v>
      </c>
      <c r="P1219" s="337">
        <f>CompletedProjects[[#This Row],[Annual Emissions (MMTCO2)]]*40</f>
        <v>2.7313745565600005</v>
      </c>
      <c r="Q1219" s="203"/>
      <c r="R1219" s="173"/>
      <c r="S1219" s="167"/>
      <c r="T1219" s="173"/>
    </row>
    <row r="1220" spans="1:20" customFormat="1" ht="43">
      <c r="A1220" s="183" t="s">
        <v>208</v>
      </c>
      <c r="B1220" s="183" t="s">
        <v>508</v>
      </c>
      <c r="C1220" s="183" t="s">
        <v>464</v>
      </c>
      <c r="D1220" s="172">
        <f>50000000*'Dev Bank Share by Country'!$O$184</f>
        <v>15013711.468538556</v>
      </c>
      <c r="E1220" s="173" t="s">
        <v>475</v>
      </c>
      <c r="F1220" s="173" t="s">
        <v>476</v>
      </c>
      <c r="G1220" s="262" t="s">
        <v>931</v>
      </c>
      <c r="H1220" s="173" t="s">
        <v>473</v>
      </c>
      <c r="I1220" s="180" t="s">
        <v>283</v>
      </c>
      <c r="J1220" s="173" t="s">
        <v>26</v>
      </c>
      <c r="K1220" s="241">
        <v>39892</v>
      </c>
      <c r="L1220" s="197"/>
      <c r="M1220" s="262"/>
      <c r="N1220" s="462">
        <f>360/12</f>
        <v>30</v>
      </c>
      <c r="O1220" s="461">
        <f>CompletedProjects[[#This Row],[Power Plant Size (MW) or Share]]*0.593*9057*211.9*10^(-9)</f>
        <v>3.4142181957000008E-2</v>
      </c>
      <c r="P1220" s="337">
        <f>CompletedProjects[[#This Row],[Annual Emissions (MMTCO2)]]*40</f>
        <v>1.3656872782800002</v>
      </c>
      <c r="Q1220" s="203"/>
      <c r="R1220" s="173"/>
      <c r="S1220" s="167"/>
      <c r="T1220" s="173"/>
    </row>
    <row r="1221" spans="1:20" customFormat="1" ht="86">
      <c r="A1221" s="167" t="s">
        <v>208</v>
      </c>
      <c r="B1221" s="167" t="s">
        <v>511</v>
      </c>
      <c r="C1221" s="167" t="s">
        <v>464</v>
      </c>
      <c r="D1221" s="172">
        <f>8000000*'Dev Bank Share by Country'!$G$184</f>
        <v>1775015.3632248237</v>
      </c>
      <c r="E1221" s="173" t="s">
        <v>405</v>
      </c>
      <c r="F1221" s="173" t="s">
        <v>406</v>
      </c>
      <c r="G1221" s="262" t="s">
        <v>786</v>
      </c>
      <c r="H1221" s="173" t="s">
        <v>65</v>
      </c>
      <c r="I1221" s="180" t="s">
        <v>283</v>
      </c>
      <c r="J1221" s="173" t="s">
        <v>26</v>
      </c>
      <c r="K1221" s="241">
        <v>39234</v>
      </c>
      <c r="L1221" s="173" t="s">
        <v>815</v>
      </c>
      <c r="M1221" s="262" t="s">
        <v>806</v>
      </c>
      <c r="N1221" s="256">
        <f>600/19</f>
        <v>31.578947368421051</v>
      </c>
      <c r="O1221" s="461">
        <f>CompletedProjects[[#This Row],[Power Plant Size (MW) or Share]]*0.593*9057*211.9*10^(-9)</f>
        <v>3.5939138902105268E-2</v>
      </c>
      <c r="P1221" s="337">
        <f>CompletedProjects[[#This Row],[Annual Emissions (MMTCO2)]]*40</f>
        <v>1.4375655560842107</v>
      </c>
      <c r="Q1221" s="167"/>
      <c r="R1221" s="167" t="s">
        <v>467</v>
      </c>
      <c r="S1221" s="167" t="s">
        <v>633</v>
      </c>
      <c r="T1221" s="167"/>
    </row>
    <row r="1222" spans="1:20" customFormat="1" ht="71.7">
      <c r="A1222" s="167" t="s">
        <v>208</v>
      </c>
      <c r="B1222" s="186" t="s">
        <v>519</v>
      </c>
      <c r="C1222" s="186" t="s">
        <v>464</v>
      </c>
      <c r="D1222" s="172">
        <f>902850000*'Dev Bank Share by Country'!$K$184</f>
        <v>140068149</v>
      </c>
      <c r="E1222" s="173" t="s">
        <v>91</v>
      </c>
      <c r="F1222" s="173" t="s">
        <v>536</v>
      </c>
      <c r="G1222" s="262"/>
      <c r="H1222" s="173" t="s">
        <v>63</v>
      </c>
      <c r="I1222" s="180" t="s">
        <v>283</v>
      </c>
      <c r="J1222" s="173" t="s">
        <v>26</v>
      </c>
      <c r="K1222" s="241">
        <v>40168</v>
      </c>
      <c r="L1222" s="173" t="s">
        <v>1323</v>
      </c>
      <c r="M1222" s="262"/>
      <c r="N1222" s="337"/>
      <c r="O1222" s="461">
        <f>CompletedProjects[[#This Row],[Power Plant Size (MW) or Share]]*0.593*9057*211.9*10^(-9)</f>
        <v>0</v>
      </c>
      <c r="P1222" s="337">
        <f>CompletedProjects[[#This Row],[Annual Emissions (MMTCO2)]]*40</f>
        <v>0</v>
      </c>
      <c r="Q1222" s="176"/>
      <c r="R1222" s="178" t="s">
        <v>537</v>
      </c>
      <c r="S1222" s="167"/>
      <c r="T1222" s="178"/>
    </row>
    <row r="1223" spans="1:20" customFormat="1" ht="114.7">
      <c r="A1223" s="167" t="s">
        <v>208</v>
      </c>
      <c r="B1223" s="167" t="s">
        <v>511</v>
      </c>
      <c r="C1223" s="167" t="s">
        <v>464</v>
      </c>
      <c r="D1223" s="172">
        <f>275000000*'Dev Bank Share by Country'!$G$184</f>
        <v>61016153.110853314</v>
      </c>
      <c r="E1223" s="173" t="s">
        <v>413</v>
      </c>
      <c r="F1223" s="173" t="s">
        <v>413</v>
      </c>
      <c r="G1223" s="262" t="s">
        <v>766</v>
      </c>
      <c r="H1223" s="173" t="s">
        <v>95</v>
      </c>
      <c r="I1223" s="180" t="s">
        <v>283</v>
      </c>
      <c r="J1223" s="173" t="s">
        <v>277</v>
      </c>
      <c r="K1223" s="241">
        <v>39394</v>
      </c>
      <c r="L1223" s="173" t="s">
        <v>917</v>
      </c>
      <c r="M1223" s="262"/>
      <c r="N1223" s="256">
        <f>600/7/2</f>
        <v>42.857142857142854</v>
      </c>
      <c r="O1223" s="461">
        <f>CompletedProjects[[#This Row],[Power Plant Size (MW) or Share]]*0.593*9057*211.9*10^(-9)</f>
        <v>4.8774545652857132E-2</v>
      </c>
      <c r="P1223" s="337">
        <f>CompletedProjects[[#This Row],[Annual Emissions (MMTCO2)]]*40</f>
        <v>1.9509818261142853</v>
      </c>
      <c r="Q1223" s="167"/>
      <c r="R1223" s="167" t="s">
        <v>640</v>
      </c>
      <c r="S1223" s="167" t="s">
        <v>465</v>
      </c>
      <c r="T1223" s="167"/>
    </row>
    <row r="1224" spans="1:20" customFormat="1" ht="28.7">
      <c r="A1224" s="173" t="s">
        <v>208</v>
      </c>
      <c r="B1224" s="173" t="s">
        <v>509</v>
      </c>
      <c r="C1224" s="173" t="s">
        <v>464</v>
      </c>
      <c r="D1224" s="172">
        <v>8572126.5838580821</v>
      </c>
      <c r="E1224" s="173" t="s">
        <v>429</v>
      </c>
      <c r="F1224" s="173" t="s">
        <v>430</v>
      </c>
      <c r="G1224" s="262" t="s">
        <v>928</v>
      </c>
      <c r="H1224" s="173" t="s">
        <v>431</v>
      </c>
      <c r="I1224" s="180" t="s">
        <v>283</v>
      </c>
      <c r="J1224" s="173" t="s">
        <v>26</v>
      </c>
      <c r="K1224" s="241">
        <v>40114</v>
      </c>
      <c r="L1224" s="173"/>
      <c r="M1224" s="262"/>
      <c r="N1224" s="337">
        <f>600/15/2</f>
        <v>20</v>
      </c>
      <c r="O1224" s="461">
        <f>CompletedProjects[[#This Row],[Power Plant Size (MW) or Share]]*0.593*9057*211.9*10^(-9)</f>
        <v>2.2761454637999997E-2</v>
      </c>
      <c r="P1224" s="337">
        <f>CompletedProjects[[#This Row],[Annual Emissions (MMTCO2)]]*40</f>
        <v>0.91045818551999991</v>
      </c>
      <c r="Q1224" s="176"/>
      <c r="R1224" s="178" t="s">
        <v>467</v>
      </c>
      <c r="S1224" s="167"/>
      <c r="T1224" s="178"/>
    </row>
    <row r="1225" spans="1:20" customFormat="1" ht="28.7">
      <c r="A1225" s="167" t="s">
        <v>208</v>
      </c>
      <c r="B1225" s="171" t="s">
        <v>509</v>
      </c>
      <c r="C1225" s="171" t="s">
        <v>464</v>
      </c>
      <c r="D1225" s="172">
        <v>173205440.73572341</v>
      </c>
      <c r="E1225" s="173" t="s">
        <v>41</v>
      </c>
      <c r="F1225" s="173" t="s">
        <v>468</v>
      </c>
      <c r="G1225" s="262" t="s">
        <v>927</v>
      </c>
      <c r="H1225" s="173" t="s">
        <v>25</v>
      </c>
      <c r="I1225" s="180" t="s">
        <v>283</v>
      </c>
      <c r="J1225" s="173" t="s">
        <v>26</v>
      </c>
      <c r="K1225" s="241">
        <v>40142</v>
      </c>
      <c r="L1225" s="173"/>
      <c r="M1225" s="262"/>
      <c r="N1225" s="337">
        <f>4800/15/2</f>
        <v>160</v>
      </c>
      <c r="O1225" s="461">
        <f>CompletedProjects[[#This Row],[Power Plant Size (MW) or Share]]*0.593*9057*211.9*10^(-9)</f>
        <v>0.18209163710399998</v>
      </c>
      <c r="P1225" s="337">
        <f>CompletedProjects[[#This Row],[Annual Emissions (MMTCO2)]]*40</f>
        <v>7.2836654841599993</v>
      </c>
      <c r="Q1225" s="176"/>
      <c r="R1225" s="178" t="s">
        <v>642</v>
      </c>
      <c r="S1225" s="167"/>
      <c r="T1225" s="178"/>
    </row>
    <row r="1226" spans="1:20" customFormat="1" ht="43">
      <c r="A1226" s="181" t="s">
        <v>208</v>
      </c>
      <c r="B1226" s="182" t="s">
        <v>509</v>
      </c>
      <c r="C1226" s="182" t="s">
        <v>464</v>
      </c>
      <c r="D1226" s="172">
        <v>5428412.1322108535</v>
      </c>
      <c r="E1226" s="173" t="s">
        <v>469</v>
      </c>
      <c r="F1226" s="173" t="s">
        <v>516</v>
      </c>
      <c r="G1226" s="262" t="s">
        <v>929</v>
      </c>
      <c r="H1226" s="173" t="s">
        <v>458</v>
      </c>
      <c r="I1226" s="180" t="s">
        <v>283</v>
      </c>
      <c r="J1226" s="173" t="s">
        <v>26</v>
      </c>
      <c r="K1226" s="241">
        <v>40142</v>
      </c>
      <c r="L1226" s="173"/>
      <c r="M1226" s="262"/>
      <c r="N1226" s="150">
        <f>125/15</f>
        <v>8.3333333333333339</v>
      </c>
      <c r="O1226" s="461">
        <f>CompletedProjects[[#This Row],[Power Plant Size (MW) or Share]]*0.593*9057*211.9*10^(-9)</f>
        <v>9.4839394324999996E-3</v>
      </c>
      <c r="P1226" s="337">
        <f>CompletedProjects[[#This Row],[Annual Emissions (MMTCO2)]]*40</f>
        <v>0.37935757729999997</v>
      </c>
      <c r="Q1226" s="203"/>
      <c r="R1226" s="167" t="s">
        <v>470</v>
      </c>
      <c r="S1226" s="167"/>
      <c r="T1226" s="167" t="s">
        <v>537</v>
      </c>
    </row>
    <row r="1227" spans="1:20" customFormat="1" ht="57.35">
      <c r="A1227" s="167" t="s">
        <v>208</v>
      </c>
      <c r="B1227" s="182" t="s">
        <v>519</v>
      </c>
      <c r="C1227" s="182" t="s">
        <v>464</v>
      </c>
      <c r="D1227" s="172">
        <f>450000000*'Dev Bank Share by Country'!$K$184</f>
        <v>69813000</v>
      </c>
      <c r="E1227" s="183" t="s">
        <v>1395</v>
      </c>
      <c r="F1227" s="183" t="s">
        <v>1393</v>
      </c>
      <c r="G1227" s="262" t="s">
        <v>1394</v>
      </c>
      <c r="H1227" s="183" t="s">
        <v>65</v>
      </c>
      <c r="I1227" s="180" t="s">
        <v>283</v>
      </c>
      <c r="J1227" s="183" t="s">
        <v>26</v>
      </c>
      <c r="K1227" s="242">
        <v>39562</v>
      </c>
      <c r="L1227" s="173" t="s">
        <v>525</v>
      </c>
      <c r="M1227" s="262" t="s">
        <v>821</v>
      </c>
      <c r="N1227" s="337">
        <f>4000/3/13</f>
        <v>102.56410256410255</v>
      </c>
      <c r="O1227" s="461">
        <f>CompletedProjects[[#This Row],[Power Plant Size (MW) or Share]]*0.593*9057*211.9*10^(-9)</f>
        <v>0.11672540839999998</v>
      </c>
      <c r="P1227" s="337">
        <f>CompletedProjects[[#This Row],[Annual Emissions (MMTCO2)]]*40</f>
        <v>4.6690163359999994</v>
      </c>
      <c r="Q1227" s="176"/>
      <c r="R1227" s="173" t="s">
        <v>1396</v>
      </c>
      <c r="S1227" s="167"/>
      <c r="T1227" s="173"/>
    </row>
    <row r="1228" spans="1:20" customFormat="1" ht="57.35">
      <c r="A1228" s="167" t="s">
        <v>208</v>
      </c>
      <c r="B1228" s="186" t="s">
        <v>519</v>
      </c>
      <c r="C1228" s="186" t="s">
        <v>464</v>
      </c>
      <c r="D1228" s="172"/>
      <c r="E1228" s="173" t="s">
        <v>526</v>
      </c>
      <c r="F1228" s="173" t="s">
        <v>527</v>
      </c>
      <c r="G1228" s="174" t="s">
        <v>901</v>
      </c>
      <c r="H1228" s="173" t="s">
        <v>95</v>
      </c>
      <c r="I1228" s="180" t="s">
        <v>283</v>
      </c>
      <c r="J1228" s="173" t="s">
        <v>277</v>
      </c>
      <c r="K1228" s="241">
        <v>39601</v>
      </c>
      <c r="L1228" s="172">
        <f>120000000*'Dev Bank Share by Country'!$K$184</f>
        <v>18616800</v>
      </c>
      <c r="M1228" s="450"/>
      <c r="N1228" s="337"/>
      <c r="O1228" s="461">
        <f>CompletedProjects[[#This Row],[Power Plant Size (MW) or Share]]*0.593*9057*211.9*10^(-9)</f>
        <v>0</v>
      </c>
      <c r="P1228" s="337">
        <f>CompletedProjects[[#This Row],[Annual Emissions (MMTCO2)]]*40</f>
        <v>0</v>
      </c>
      <c r="Q1228" s="176"/>
      <c r="R1228" s="178" t="s">
        <v>1321</v>
      </c>
      <c r="S1228" s="167" t="s">
        <v>1688</v>
      </c>
      <c r="T1228" s="178"/>
    </row>
    <row r="1229" spans="1:20" customFormat="1" ht="28.7">
      <c r="A1229" s="167" t="s">
        <v>208</v>
      </c>
      <c r="B1229" s="167" t="s">
        <v>191</v>
      </c>
      <c r="C1229" s="171" t="s">
        <v>336</v>
      </c>
      <c r="D1229" s="172">
        <v>18000000</v>
      </c>
      <c r="E1229" s="171" t="s">
        <v>35</v>
      </c>
      <c r="F1229" s="173" t="s">
        <v>314</v>
      </c>
      <c r="G1229" s="262"/>
      <c r="H1229" s="173" t="s">
        <v>85</v>
      </c>
      <c r="I1229" s="173" t="s">
        <v>40</v>
      </c>
      <c r="J1229" s="173" t="s">
        <v>40</v>
      </c>
      <c r="K1229" s="241">
        <v>40179</v>
      </c>
      <c r="L1229" s="173"/>
      <c r="M1229" s="262" t="s">
        <v>315</v>
      </c>
      <c r="N1229" s="337"/>
      <c r="O1229" s="461">
        <f>CompletedProjects[[#This Row],[Power Plant Size (MW) or Share]]*0.593*9057*211.9*10^(-9)</f>
        <v>0</v>
      </c>
      <c r="P1229" s="337">
        <f>CompletedProjects[[#This Row],[Annual Emissions (MMTCO2)]]*40</f>
        <v>0</v>
      </c>
      <c r="Q1229" s="209">
        <v>35.700000000000003</v>
      </c>
      <c r="R1229" s="178"/>
      <c r="S1229" s="167"/>
      <c r="T1229" s="178"/>
    </row>
    <row r="1230" spans="1:20" customFormat="1" ht="43">
      <c r="A1230" s="181" t="s">
        <v>208</v>
      </c>
      <c r="B1230" s="182" t="s">
        <v>559</v>
      </c>
      <c r="C1230" s="182" t="s">
        <v>464</v>
      </c>
      <c r="D1230" s="172">
        <v>2953678.9545627343</v>
      </c>
      <c r="E1230" s="173" t="s">
        <v>588</v>
      </c>
      <c r="F1230" s="173" t="s">
        <v>588</v>
      </c>
      <c r="G1230" s="265" t="s">
        <v>793</v>
      </c>
      <c r="H1230" s="173" t="s">
        <v>201</v>
      </c>
      <c r="I1230" s="173" t="s">
        <v>40</v>
      </c>
      <c r="J1230" s="173" t="s">
        <v>40</v>
      </c>
      <c r="K1230" s="240">
        <v>39422</v>
      </c>
      <c r="L1230" s="167" t="s">
        <v>905</v>
      </c>
      <c r="M1230" s="262"/>
      <c r="N1230" s="337"/>
      <c r="O1230" s="461">
        <f>CompletedProjects[[#This Row],[Power Plant Size (MW) or Share]]*0.593*9057*211.9*10^(-9)</f>
        <v>0</v>
      </c>
      <c r="P1230" s="337">
        <f>CompletedProjects[[#This Row],[Annual Emissions (MMTCO2)]]*40</f>
        <v>0</v>
      </c>
      <c r="Q1230" s="176"/>
      <c r="R1230" s="178" t="s">
        <v>537</v>
      </c>
      <c r="S1230" s="167"/>
      <c r="T1230" s="178"/>
    </row>
    <row r="1231" spans="1:20" customFormat="1" ht="172">
      <c r="A1231" s="167" t="s">
        <v>208</v>
      </c>
      <c r="B1231" s="167" t="s">
        <v>512</v>
      </c>
      <c r="C1231" s="167" t="s">
        <v>464</v>
      </c>
      <c r="D1231" s="172">
        <f>11250000*'Dev Bank Share by Country'!$E$184</f>
        <v>1180548.9154180582</v>
      </c>
      <c r="E1231" s="173" t="s">
        <v>270</v>
      </c>
      <c r="F1231" s="173" t="s">
        <v>433</v>
      </c>
      <c r="G1231" s="262" t="s">
        <v>767</v>
      </c>
      <c r="H1231" s="173" t="s">
        <v>201</v>
      </c>
      <c r="I1231" s="173" t="s">
        <v>40</v>
      </c>
      <c r="J1231" s="173" t="s">
        <v>417</v>
      </c>
      <c r="K1231" s="241">
        <v>40673</v>
      </c>
      <c r="L1231" s="173" t="s">
        <v>828</v>
      </c>
      <c r="M1231" s="273" t="s">
        <v>827</v>
      </c>
      <c r="N1231" s="256"/>
      <c r="O1231" s="461">
        <f>CompletedProjects[[#This Row],[Power Plant Size (MW) or Share]]*0.593*9057*211.9*10^(-9)</f>
        <v>0</v>
      </c>
      <c r="P1231" s="337">
        <f>CompletedProjects[[#This Row],[Annual Emissions (MMTCO2)]]*40</f>
        <v>0</v>
      </c>
      <c r="Q1231" s="167"/>
      <c r="R1231" s="167" t="s">
        <v>400</v>
      </c>
      <c r="S1231" s="167" t="s">
        <v>465</v>
      </c>
      <c r="T1231" s="167"/>
    </row>
    <row r="1232" spans="1:20" customFormat="1" ht="71.7">
      <c r="A1232" s="167" t="s">
        <v>208</v>
      </c>
      <c r="B1232" s="171" t="s">
        <v>559</v>
      </c>
      <c r="C1232" s="171" t="s">
        <v>464</v>
      </c>
      <c r="D1232" s="172">
        <v>8028116.594577617</v>
      </c>
      <c r="E1232" s="173" t="s">
        <v>591</v>
      </c>
      <c r="F1232" s="173" t="s">
        <v>590</v>
      </c>
      <c r="G1232" s="265" t="s">
        <v>794</v>
      </c>
      <c r="H1232" s="173" t="s">
        <v>45</v>
      </c>
      <c r="I1232" s="180" t="s">
        <v>283</v>
      </c>
      <c r="J1232" s="173" t="s">
        <v>277</v>
      </c>
      <c r="K1232" s="240">
        <v>39553</v>
      </c>
      <c r="L1232" s="173" t="s">
        <v>906</v>
      </c>
      <c r="M1232" s="262"/>
      <c r="N1232" s="337"/>
      <c r="O1232" s="461">
        <f>CompletedProjects[[#This Row],[Power Plant Size (MW) or Share]]*0.593*9057*211.9*10^(-9)</f>
        <v>0</v>
      </c>
      <c r="P1232" s="337">
        <f>CompletedProjects[[#This Row],[Annual Emissions (MMTCO2)]]*40</f>
        <v>0</v>
      </c>
      <c r="Q1232" s="176"/>
      <c r="R1232" s="178"/>
      <c r="S1232" s="167"/>
      <c r="T1232" s="178"/>
    </row>
    <row r="1233" spans="1:20" customFormat="1" ht="43">
      <c r="A1233" s="167" t="s">
        <v>208</v>
      </c>
      <c r="B1233" s="171" t="s">
        <v>191</v>
      </c>
      <c r="C1233" s="171" t="s">
        <v>336</v>
      </c>
      <c r="D1233" s="172">
        <v>22500000</v>
      </c>
      <c r="E1233" s="173" t="s">
        <v>192</v>
      </c>
      <c r="F1233" s="173" t="s">
        <v>193</v>
      </c>
      <c r="G1233" s="262" t="s">
        <v>706</v>
      </c>
      <c r="H1233" s="180" t="s">
        <v>208</v>
      </c>
      <c r="I1233" s="173" t="s">
        <v>40</v>
      </c>
      <c r="J1233" s="173" t="s">
        <v>40</v>
      </c>
      <c r="K1233" s="241">
        <v>40473</v>
      </c>
      <c r="L1233" s="173" t="s">
        <v>870</v>
      </c>
      <c r="M1233" s="262" t="s">
        <v>706</v>
      </c>
      <c r="N1233" s="337"/>
      <c r="O1233" s="461">
        <f>CompletedProjects[[#This Row],[Power Plant Size (MW) or Share]]*0.593*9057*211.9*10^(-9)</f>
        <v>0</v>
      </c>
      <c r="P1233" s="337">
        <f>CompletedProjects[[#This Row],[Annual Emissions (MMTCO2)]]*40</f>
        <v>0</v>
      </c>
      <c r="Q1233" s="176"/>
      <c r="R1233" s="167"/>
      <c r="S1233" s="167"/>
      <c r="T1233" s="167"/>
    </row>
    <row r="1234" spans="1:20" s="146" customFormat="1" ht="43">
      <c r="A1234" s="181" t="s">
        <v>208</v>
      </c>
      <c r="B1234" s="182" t="s">
        <v>559</v>
      </c>
      <c r="C1234" s="182" t="s">
        <v>464</v>
      </c>
      <c r="D1234" s="172"/>
      <c r="E1234" s="173" t="s">
        <v>611</v>
      </c>
      <c r="F1234" s="173" t="s">
        <v>612</v>
      </c>
      <c r="G1234" s="262" t="s">
        <v>804</v>
      </c>
      <c r="H1234" s="173" t="s">
        <v>613</v>
      </c>
      <c r="I1234" s="180" t="s">
        <v>283</v>
      </c>
      <c r="J1234" s="173" t="s">
        <v>277</v>
      </c>
      <c r="K1234" s="240">
        <v>39814</v>
      </c>
      <c r="L1234" s="197"/>
      <c r="M1234" s="262"/>
      <c r="N1234" s="337"/>
      <c r="O1234" s="461">
        <f>CompletedProjects[[#This Row],[Power Plant Size (MW) or Share]]*0.593*9057*211.9*10^(-9)</f>
        <v>0</v>
      </c>
      <c r="P1234" s="337">
        <f>CompletedProjects[[#This Row],[Annual Emissions (MMTCO2)]]*40</f>
        <v>0</v>
      </c>
      <c r="Q1234" s="176"/>
      <c r="R1234" s="173" t="s">
        <v>914</v>
      </c>
      <c r="S1234" s="167" t="s">
        <v>1688</v>
      </c>
      <c r="T1234" s="173"/>
    </row>
    <row r="1235" spans="1:20" s="146" customFormat="1" ht="71.7">
      <c r="A1235" s="181" t="s">
        <v>208</v>
      </c>
      <c r="B1235" s="182" t="s">
        <v>559</v>
      </c>
      <c r="C1235" s="182" t="s">
        <v>464</v>
      </c>
      <c r="D1235" s="172">
        <v>5462282.9981639609</v>
      </c>
      <c r="E1235" s="173" t="s">
        <v>604</v>
      </c>
      <c r="F1235" s="173" t="s">
        <v>605</v>
      </c>
      <c r="G1235" s="262" t="s">
        <v>802</v>
      </c>
      <c r="H1235" s="173" t="s">
        <v>493</v>
      </c>
      <c r="I1235" s="180" t="s">
        <v>283</v>
      </c>
      <c r="J1235" s="173" t="s">
        <v>277</v>
      </c>
      <c r="K1235" s="240">
        <v>40589</v>
      </c>
      <c r="L1235" s="173" t="s">
        <v>1693</v>
      </c>
      <c r="M1235" s="262"/>
      <c r="N1235" s="337">
        <f>154/12</f>
        <v>12.833333333333334</v>
      </c>
      <c r="O1235" s="461">
        <f>CompletedProjects[[#This Row],[Power Plant Size (MW) or Share]]*0.593*9057*211.9*10^(-9)</f>
        <v>1.460526672605E-2</v>
      </c>
      <c r="P1235" s="337">
        <f>CompletedProjects[[#This Row],[Annual Emissions (MMTCO2)]]*40</f>
        <v>0.58421066904200003</v>
      </c>
      <c r="Q1235" s="176"/>
      <c r="R1235" s="178" t="s">
        <v>537</v>
      </c>
      <c r="S1235" s="167"/>
      <c r="T1235" s="178"/>
    </row>
    <row r="1236" spans="1:20" customFormat="1" ht="43">
      <c r="A1236" s="181" t="s">
        <v>208</v>
      </c>
      <c r="B1236" s="182" t="s">
        <v>559</v>
      </c>
      <c r="C1236" s="182" t="s">
        <v>464</v>
      </c>
      <c r="D1236" s="172">
        <v>3473202.7597214398</v>
      </c>
      <c r="E1236" s="173" t="s">
        <v>587</v>
      </c>
      <c r="F1236" s="173" t="s">
        <v>587</v>
      </c>
      <c r="G1236" s="262" t="s">
        <v>792</v>
      </c>
      <c r="H1236" s="173" t="s">
        <v>39</v>
      </c>
      <c r="I1236" s="180" t="s">
        <v>283</v>
      </c>
      <c r="J1236" s="173" t="s">
        <v>277</v>
      </c>
      <c r="K1236" s="240">
        <v>39415</v>
      </c>
      <c r="L1236" s="167" t="s">
        <v>904</v>
      </c>
      <c r="M1236" s="262"/>
      <c r="N1236" s="338">
        <f>550/12</f>
        <v>45.833333333333336</v>
      </c>
      <c r="O1236" s="461">
        <f>CompletedProjects[[#This Row],[Power Plant Size (MW) or Share]]*0.593*9057*211.9*10^(-9)</f>
        <v>5.2161666878750006E-2</v>
      </c>
      <c r="P1236" s="337">
        <f>CompletedProjects[[#This Row],[Annual Emissions (MMTCO2)]]*40</f>
        <v>2.0864666751500001</v>
      </c>
      <c r="Q1236" s="169"/>
      <c r="R1236" s="178" t="s">
        <v>537</v>
      </c>
      <c r="S1236" s="181"/>
      <c r="T1236" s="178"/>
    </row>
    <row r="1237" spans="1:20" customFormat="1" ht="57.35">
      <c r="A1237" s="167" t="s">
        <v>208</v>
      </c>
      <c r="B1237" s="171" t="s">
        <v>191</v>
      </c>
      <c r="C1237" s="171" t="s">
        <v>336</v>
      </c>
      <c r="D1237" s="172">
        <v>805600000</v>
      </c>
      <c r="E1237" s="173" t="s">
        <v>41</v>
      </c>
      <c r="F1237" s="173" t="s">
        <v>194</v>
      </c>
      <c r="G1237" s="262" t="s">
        <v>709</v>
      </c>
      <c r="H1237" s="173" t="s">
        <v>25</v>
      </c>
      <c r="I1237" s="180" t="s">
        <v>283</v>
      </c>
      <c r="J1237" s="173" t="s">
        <v>26</v>
      </c>
      <c r="K1237" s="240">
        <v>40689</v>
      </c>
      <c r="L1237" s="173"/>
      <c r="M1237" s="262"/>
      <c r="N1237" s="337">
        <v>1600</v>
      </c>
      <c r="O1237" s="461">
        <f>CompletedProjects[[#This Row],[Power Plant Size (MW) or Share]]*0.593*9057*211.9*10^(-9)</f>
        <v>1.82091637104</v>
      </c>
      <c r="P1237" s="337">
        <f>CompletedProjects[[#This Row],[Annual Emissions (MMTCO2)]]*40</f>
        <v>72.836654841599994</v>
      </c>
      <c r="Q1237" s="176"/>
      <c r="R1237" s="178" t="s">
        <v>349</v>
      </c>
      <c r="S1237" s="167"/>
      <c r="T1237" s="178"/>
    </row>
    <row r="1238" spans="1:20" customFormat="1" ht="57.35">
      <c r="A1238" s="167" t="s">
        <v>208</v>
      </c>
      <c r="B1238" s="182" t="s">
        <v>445</v>
      </c>
      <c r="C1238" s="182" t="s">
        <v>464</v>
      </c>
      <c r="D1238" s="172">
        <f>450000000*'Dev Bank Share by Country'!$G$184</f>
        <v>99844614.181396335</v>
      </c>
      <c r="E1238" s="183" t="s">
        <v>1395</v>
      </c>
      <c r="F1238" s="183" t="s">
        <v>1393</v>
      </c>
      <c r="G1238" s="267" t="s">
        <v>1394</v>
      </c>
      <c r="H1238" s="183" t="s">
        <v>65</v>
      </c>
      <c r="I1238" s="180" t="s">
        <v>283</v>
      </c>
      <c r="J1238" s="183" t="s">
        <v>26</v>
      </c>
      <c r="K1238" s="242">
        <v>39562</v>
      </c>
      <c r="L1238" s="183" t="s">
        <v>1396</v>
      </c>
      <c r="M1238" s="262" t="s">
        <v>768</v>
      </c>
      <c r="N1238" s="338">
        <f>4000/3/20</f>
        <v>66.666666666666657</v>
      </c>
      <c r="O1238" s="461">
        <f>CompletedProjects[[#This Row],[Power Plant Size (MW) or Share]]*0.593*9057*211.9*10^(-9)</f>
        <v>7.5871515459999983E-2</v>
      </c>
      <c r="P1238" s="337">
        <f>CompletedProjects[[#This Row],[Annual Emissions (MMTCO2)]]*40</f>
        <v>3.0348606183999993</v>
      </c>
      <c r="Q1238" s="169"/>
      <c r="R1238" s="185"/>
      <c r="S1238" s="181"/>
      <c r="T1238" s="185"/>
    </row>
    <row r="1239" spans="1:20" customFormat="1" ht="86">
      <c r="A1239" s="167" t="s">
        <v>208</v>
      </c>
      <c r="B1239" s="186" t="s">
        <v>519</v>
      </c>
      <c r="C1239" s="186" t="s">
        <v>464</v>
      </c>
      <c r="D1239" s="172">
        <f>200000*'Dev Bank Share by Country'!$K$184</f>
        <v>31028</v>
      </c>
      <c r="E1239" s="173" t="s">
        <v>528</v>
      </c>
      <c r="F1239" s="173" t="s">
        <v>529</v>
      </c>
      <c r="G1239" s="262"/>
      <c r="H1239" s="173" t="s">
        <v>239</v>
      </c>
      <c r="I1239" s="180" t="s">
        <v>283</v>
      </c>
      <c r="J1239" s="173" t="s">
        <v>26</v>
      </c>
      <c r="K1239" s="241">
        <v>39729</v>
      </c>
      <c r="L1239" s="183" t="s">
        <v>1709</v>
      </c>
      <c r="M1239" s="262"/>
      <c r="N1239" s="337"/>
      <c r="O1239" s="461">
        <f>CompletedProjects[[#This Row],[Power Plant Size (MW) or Share]]*0.593*9057*211.9*10^(-9)</f>
        <v>0</v>
      </c>
      <c r="P1239" s="337">
        <f>CompletedProjects[[#This Row],[Annual Emissions (MMTCO2)]]*40</f>
        <v>0</v>
      </c>
      <c r="Q1239" s="176"/>
      <c r="R1239" s="178" t="s">
        <v>530</v>
      </c>
      <c r="S1239" s="167"/>
      <c r="T1239" s="178"/>
    </row>
    <row r="1240" spans="1:20" s="146" customFormat="1" ht="28.7">
      <c r="A1240" s="167" t="s">
        <v>208</v>
      </c>
      <c r="B1240" s="171" t="s">
        <v>191</v>
      </c>
      <c r="C1240" s="171" t="s">
        <v>336</v>
      </c>
      <c r="D1240" s="172">
        <v>16519915</v>
      </c>
      <c r="E1240" s="173" t="s">
        <v>205</v>
      </c>
      <c r="F1240" s="173" t="s">
        <v>295</v>
      </c>
      <c r="G1240" s="262" t="s">
        <v>708</v>
      </c>
      <c r="H1240" s="173" t="s">
        <v>25</v>
      </c>
      <c r="I1240" s="173" t="s">
        <v>40</v>
      </c>
      <c r="J1240" s="173" t="s">
        <v>40</v>
      </c>
      <c r="K1240" s="240">
        <v>40861</v>
      </c>
      <c r="L1240" s="173"/>
      <c r="M1240" s="262"/>
      <c r="N1240" s="337"/>
      <c r="O1240" s="461">
        <f>CompletedProjects[[#This Row],[Power Plant Size (MW) or Share]]*0.593*9057*211.9*10^(-9)</f>
        <v>0</v>
      </c>
      <c r="P1240" s="337">
        <f>CompletedProjects[[#This Row],[Annual Emissions (MMTCO2)]]*40</f>
        <v>0</v>
      </c>
      <c r="Q1240" s="176"/>
      <c r="R1240" s="178"/>
      <c r="S1240" s="167"/>
      <c r="T1240" s="178"/>
    </row>
    <row r="1241" spans="1:20" s="146" customFormat="1" ht="28.7">
      <c r="A1241" s="167" t="s">
        <v>208</v>
      </c>
      <c r="B1241" s="171" t="s">
        <v>191</v>
      </c>
      <c r="C1241" s="171" t="s">
        <v>336</v>
      </c>
      <c r="D1241" s="172">
        <v>112500000</v>
      </c>
      <c r="E1241" s="173" t="s">
        <v>192</v>
      </c>
      <c r="F1241" s="173" t="s">
        <v>193</v>
      </c>
      <c r="G1241" s="262" t="s">
        <v>706</v>
      </c>
      <c r="H1241" s="180" t="s">
        <v>208</v>
      </c>
      <c r="I1241" s="173" t="s">
        <v>40</v>
      </c>
      <c r="J1241" s="173" t="s">
        <v>40</v>
      </c>
      <c r="K1241" s="240">
        <v>40909</v>
      </c>
      <c r="L1241" s="173"/>
      <c r="M1241" s="262"/>
      <c r="N1241" s="337"/>
      <c r="O1241" s="461">
        <f>CompletedProjects[[#This Row],[Power Plant Size (MW) or Share]]*0.593*9057*211.9*10^(-9)</f>
        <v>0</v>
      </c>
      <c r="P1241" s="337">
        <f>CompletedProjects[[#This Row],[Annual Emissions (MMTCO2)]]*40</f>
        <v>0</v>
      </c>
      <c r="Q1241" s="176"/>
      <c r="R1241" s="178"/>
      <c r="S1241" s="167"/>
      <c r="T1241" s="178"/>
    </row>
    <row r="1242" spans="1:20" s="146" customFormat="1" ht="43">
      <c r="A1242" s="181" t="s">
        <v>208</v>
      </c>
      <c r="B1242" s="182" t="s">
        <v>559</v>
      </c>
      <c r="C1242" s="182" t="s">
        <v>464</v>
      </c>
      <c r="D1242" s="172">
        <v>13048787.162280573</v>
      </c>
      <c r="E1242" s="173" t="s">
        <v>600</v>
      </c>
      <c r="F1242" s="173" t="s">
        <v>601</v>
      </c>
      <c r="G1242" s="262" t="s">
        <v>800</v>
      </c>
      <c r="H1242" s="173" t="s">
        <v>481</v>
      </c>
      <c r="I1242" s="180" t="s">
        <v>283</v>
      </c>
      <c r="J1242" s="173" t="s">
        <v>277</v>
      </c>
      <c r="K1242" s="240">
        <v>40544</v>
      </c>
      <c r="L1242" s="173" t="s">
        <v>909</v>
      </c>
      <c r="M1242" s="267"/>
      <c r="N1242" s="338">
        <f>600/12</f>
        <v>50</v>
      </c>
      <c r="O1242" s="461">
        <f>CompletedProjects[[#This Row],[Power Plant Size (MW) or Share]]*0.593*9057*211.9*10^(-9)</f>
        <v>5.6903636595000001E-2</v>
      </c>
      <c r="P1242" s="337">
        <f>CompletedProjects[[#This Row],[Annual Emissions (MMTCO2)]]*40</f>
        <v>2.2761454637999998</v>
      </c>
      <c r="Q1242" s="169"/>
      <c r="R1242" s="185"/>
      <c r="S1242" s="181"/>
      <c r="T1242" s="185"/>
    </row>
    <row r="1243" spans="1:20" customFormat="1" ht="43">
      <c r="A1243" s="167" t="s">
        <v>208</v>
      </c>
      <c r="B1243" s="171" t="s">
        <v>191</v>
      </c>
      <c r="C1243" s="171" t="s">
        <v>336</v>
      </c>
      <c r="D1243" s="172"/>
      <c r="E1243" s="173" t="s">
        <v>195</v>
      </c>
      <c r="F1243" s="173" t="s">
        <v>196</v>
      </c>
      <c r="G1243" s="262" t="s">
        <v>710</v>
      </c>
      <c r="H1243" s="173" t="s">
        <v>11</v>
      </c>
      <c r="I1243" s="173" t="s">
        <v>40</v>
      </c>
      <c r="J1243" s="173" t="s">
        <v>198</v>
      </c>
      <c r="K1243" s="240">
        <v>41037</v>
      </c>
      <c r="L1243" s="173" t="s">
        <v>1698</v>
      </c>
      <c r="M1243" s="262"/>
      <c r="N1243" s="337"/>
      <c r="O1243" s="461">
        <f>CompletedProjects[[#This Row],[Power Plant Size (MW) or Share]]*0.593*9057*211.9*10^(-9)</f>
        <v>0</v>
      </c>
      <c r="P1243" s="337">
        <f>CompletedProjects[[#This Row],[Annual Emissions (MMTCO2)]]*40</f>
        <v>0</v>
      </c>
      <c r="Q1243" s="176"/>
      <c r="R1243" s="178"/>
      <c r="S1243" s="167"/>
      <c r="T1243" s="178"/>
    </row>
    <row r="1244" spans="1:20" customFormat="1" ht="43">
      <c r="A1244" s="167" t="s">
        <v>208</v>
      </c>
      <c r="B1244" s="171" t="s">
        <v>191</v>
      </c>
      <c r="C1244" s="171" t="s">
        <v>336</v>
      </c>
      <c r="D1244" s="172">
        <v>66277657</v>
      </c>
      <c r="E1244" s="173" t="s">
        <v>206</v>
      </c>
      <c r="F1244" s="173" t="s">
        <v>297</v>
      </c>
      <c r="G1244" s="262"/>
      <c r="H1244" s="173" t="s">
        <v>45</v>
      </c>
      <c r="I1244" s="173" t="s">
        <v>284</v>
      </c>
      <c r="J1244" s="173" t="s">
        <v>1498</v>
      </c>
      <c r="K1244" s="240">
        <v>41137</v>
      </c>
      <c r="L1244" s="173"/>
      <c r="M1244" s="262" t="s">
        <v>713</v>
      </c>
      <c r="N1244" s="337"/>
      <c r="O1244" s="461">
        <f>CompletedProjects[[#This Row],[Power Plant Size (MW) or Share]]*0.593*9057*211.9*10^(-9)</f>
        <v>0</v>
      </c>
      <c r="P1244" s="337">
        <f>CompletedProjects[[#This Row],[Annual Emissions (MMTCO2)]]*40</f>
        <v>0</v>
      </c>
      <c r="Q1244" s="176"/>
      <c r="R1244" s="178"/>
      <c r="S1244" s="167"/>
      <c r="T1244" s="178"/>
    </row>
    <row r="1245" spans="1:20" customFormat="1" ht="43">
      <c r="A1245" s="167" t="s">
        <v>208</v>
      </c>
      <c r="B1245" s="171" t="s">
        <v>191</v>
      </c>
      <c r="C1245" s="171" t="s">
        <v>336</v>
      </c>
      <c r="D1245" s="172"/>
      <c r="E1245" s="173" t="s">
        <v>207</v>
      </c>
      <c r="F1245" s="173" t="s">
        <v>197</v>
      </c>
      <c r="G1245" s="262" t="s">
        <v>711</v>
      </c>
      <c r="H1245" s="173" t="s">
        <v>11</v>
      </c>
      <c r="I1245" s="173" t="s">
        <v>284</v>
      </c>
      <c r="J1245" s="173" t="s">
        <v>1498</v>
      </c>
      <c r="K1245" s="240">
        <v>41270</v>
      </c>
      <c r="L1245" s="173" t="s">
        <v>1699</v>
      </c>
      <c r="M1245" s="262" t="s">
        <v>714</v>
      </c>
      <c r="N1245" s="337"/>
      <c r="O1245" s="461">
        <f>CompletedProjects[[#This Row],[Power Plant Size (MW) or Share]]*0.593*9057*211.9*10^(-9)</f>
        <v>0</v>
      </c>
      <c r="P1245" s="337">
        <f>CompletedProjects[[#This Row],[Annual Emissions (MMTCO2)]]*40</f>
        <v>0</v>
      </c>
      <c r="Q1245" s="176"/>
      <c r="R1245" s="178"/>
      <c r="S1245" s="167"/>
      <c r="T1245" s="178"/>
    </row>
    <row r="1246" spans="1:20" customFormat="1" ht="129">
      <c r="A1246" s="167" t="s">
        <v>208</v>
      </c>
      <c r="B1246" s="167" t="s">
        <v>512</v>
      </c>
      <c r="C1246" s="167" t="s">
        <v>464</v>
      </c>
      <c r="D1246" s="172">
        <f>21000000*'Dev Bank Share by Country'!$E$184</f>
        <v>2203691.3087803754</v>
      </c>
      <c r="E1246" s="173" t="s">
        <v>434</v>
      </c>
      <c r="F1246" s="173" t="s">
        <v>435</v>
      </c>
      <c r="G1246" s="262" t="s">
        <v>790</v>
      </c>
      <c r="H1246" s="173" t="s">
        <v>436</v>
      </c>
      <c r="I1246" s="173" t="s">
        <v>284</v>
      </c>
      <c r="J1246" s="173" t="s">
        <v>1498</v>
      </c>
      <c r="K1246" s="241">
        <v>40801</v>
      </c>
      <c r="L1246" s="173" t="s">
        <v>829</v>
      </c>
      <c r="M1246" s="273" t="s">
        <v>775</v>
      </c>
      <c r="N1246" s="256"/>
      <c r="O1246" s="461">
        <f>CompletedProjects[[#This Row],[Power Plant Size (MW) or Share]]*0.593*9057*211.9*10^(-9)</f>
        <v>0</v>
      </c>
      <c r="P1246" s="337">
        <f>CompletedProjects[[#This Row],[Annual Emissions (MMTCO2)]]*40</f>
        <v>0</v>
      </c>
      <c r="Q1246" s="167"/>
      <c r="R1246" s="167" t="s">
        <v>400</v>
      </c>
      <c r="S1246" s="167" t="s">
        <v>633</v>
      </c>
      <c r="T1246" s="167"/>
    </row>
    <row r="1247" spans="1:20" customFormat="1" ht="71.7">
      <c r="A1247" s="167" t="s">
        <v>208</v>
      </c>
      <c r="B1247" s="171" t="s">
        <v>191</v>
      </c>
      <c r="C1247" s="171" t="s">
        <v>336</v>
      </c>
      <c r="D1247" s="172"/>
      <c r="E1247" s="173" t="s">
        <v>199</v>
      </c>
      <c r="F1247" s="173" t="s">
        <v>200</v>
      </c>
      <c r="G1247" s="262" t="s">
        <v>707</v>
      </c>
      <c r="H1247" s="173" t="s">
        <v>201</v>
      </c>
      <c r="I1247" s="173" t="s">
        <v>284</v>
      </c>
      <c r="J1247" s="173" t="s">
        <v>1498</v>
      </c>
      <c r="K1247" s="240">
        <v>41410</v>
      </c>
      <c r="L1247" s="173" t="s">
        <v>1700</v>
      </c>
      <c r="M1247" s="262" t="s">
        <v>848</v>
      </c>
      <c r="N1247" s="337"/>
      <c r="O1247" s="461">
        <f>CompletedProjects[[#This Row],[Power Plant Size (MW) or Share]]*0.593*9057*211.9*10^(-9)</f>
        <v>0</v>
      </c>
      <c r="P1247" s="337">
        <f>CompletedProjects[[#This Row],[Annual Emissions (MMTCO2)]]*40</f>
        <v>0</v>
      </c>
      <c r="Q1247" s="176"/>
      <c r="R1247" s="178"/>
      <c r="S1247" s="167"/>
      <c r="T1247" s="178"/>
    </row>
    <row r="1248" spans="1:20" customFormat="1" ht="172">
      <c r="A1248" s="167" t="s">
        <v>208</v>
      </c>
      <c r="B1248" s="167" t="s">
        <v>513</v>
      </c>
      <c r="C1248" s="167" t="s">
        <v>464</v>
      </c>
      <c r="D1248" s="172">
        <f>57000000*'Dev Bank Share by Country'!$C$184</f>
        <v>9764100</v>
      </c>
      <c r="E1248" s="173" t="s">
        <v>415</v>
      </c>
      <c r="F1248" s="173" t="s">
        <v>416</v>
      </c>
      <c r="G1248" s="262" t="s">
        <v>772</v>
      </c>
      <c r="H1248" s="173" t="s">
        <v>368</v>
      </c>
      <c r="I1248" s="173" t="s">
        <v>40</v>
      </c>
      <c r="J1248" s="173" t="s">
        <v>417</v>
      </c>
      <c r="K1248" s="241">
        <v>39436</v>
      </c>
      <c r="L1248" s="173" t="s">
        <v>918</v>
      </c>
      <c r="M1248" s="273" t="s">
        <v>895</v>
      </c>
      <c r="N1248" s="256"/>
      <c r="O1248" s="461">
        <f>CompletedProjects[[#This Row],[Power Plant Size (MW) or Share]]*0.593*9057*211.9*10^(-9)</f>
        <v>0</v>
      </c>
      <c r="P1248" s="337">
        <f>CompletedProjects[[#This Row],[Annual Emissions (MMTCO2)]]*40</f>
        <v>0</v>
      </c>
      <c r="Q1248" s="167"/>
      <c r="R1248" s="167" t="s">
        <v>400</v>
      </c>
      <c r="S1248" s="167" t="s">
        <v>633</v>
      </c>
      <c r="T1248" s="167"/>
    </row>
    <row r="1249" spans="1:20" customFormat="1" ht="43">
      <c r="A1249" s="173" t="s">
        <v>208</v>
      </c>
      <c r="B1249" s="173" t="s">
        <v>519</v>
      </c>
      <c r="C1249" s="173" t="s">
        <v>464</v>
      </c>
      <c r="D1249" s="172">
        <f>135000000*'Dev Bank Share by Country'!$K$184</f>
        <v>20943900</v>
      </c>
      <c r="E1249" s="173" t="s">
        <v>531</v>
      </c>
      <c r="F1249" s="173" t="s">
        <v>538</v>
      </c>
      <c r="G1249" s="262"/>
      <c r="H1249" s="173" t="s">
        <v>239</v>
      </c>
      <c r="I1249" s="180" t="s">
        <v>283</v>
      </c>
      <c r="J1249" s="173" t="s">
        <v>26</v>
      </c>
      <c r="K1249" s="241">
        <v>40217</v>
      </c>
      <c r="L1249" s="173" t="s">
        <v>539</v>
      </c>
      <c r="M1249" s="262"/>
      <c r="N1249" s="337">
        <f>250/13</f>
        <v>19.23076923076923</v>
      </c>
      <c r="O1249" s="461">
        <f>CompletedProjects[[#This Row],[Power Plant Size (MW) or Share]]*0.593*9057*211.9*10^(-9)</f>
        <v>2.1886014075000002E-2</v>
      </c>
      <c r="P1249" s="337">
        <f>CompletedProjects[[#This Row],[Annual Emissions (MMTCO2)]]*40</f>
        <v>0.87544056300000006</v>
      </c>
      <c r="Q1249" s="176"/>
      <c r="R1249" s="178" t="s">
        <v>540</v>
      </c>
      <c r="S1249" s="167"/>
      <c r="T1249" s="178"/>
    </row>
    <row r="1250" spans="1:20" customFormat="1" ht="57.35">
      <c r="A1250" s="167" t="s">
        <v>208</v>
      </c>
      <c r="B1250" s="167" t="s">
        <v>511</v>
      </c>
      <c r="C1250" s="167" t="s">
        <v>464</v>
      </c>
      <c r="D1250" s="172">
        <f>18000000*'Dev Bank Share by Country'!$G$184</f>
        <v>3993784.5672558537</v>
      </c>
      <c r="E1250" s="173" t="s">
        <v>407</v>
      </c>
      <c r="F1250" s="173" t="s">
        <v>407</v>
      </c>
      <c r="G1250" s="262" t="s">
        <v>776</v>
      </c>
      <c r="H1250" s="173" t="s">
        <v>408</v>
      </c>
      <c r="I1250" s="180" t="s">
        <v>283</v>
      </c>
      <c r="J1250" s="173" t="s">
        <v>409</v>
      </c>
      <c r="K1250" s="241">
        <v>39254</v>
      </c>
      <c r="L1250" s="173" t="s">
        <v>816</v>
      </c>
      <c r="M1250" s="262"/>
      <c r="N1250" s="256">
        <f>60/19</f>
        <v>3.1578947368421053</v>
      </c>
      <c r="O1250" s="461">
        <f>CompletedProjects[[#This Row],[Power Plant Size (MW) or Share]]*0.593*9057*211.9*10^(-9)</f>
        <v>3.5939138902105262E-3</v>
      </c>
      <c r="P1250" s="337">
        <f>CompletedProjects[[#This Row],[Annual Emissions (MMTCO2)]]*40</f>
        <v>0.14375655560842104</v>
      </c>
      <c r="Q1250" s="167"/>
      <c r="R1250" s="167" t="s">
        <v>636</v>
      </c>
      <c r="S1250" s="167" t="s">
        <v>633</v>
      </c>
      <c r="T1250" s="167"/>
    </row>
    <row r="1251" spans="1:20" customFormat="1" ht="28.7">
      <c r="A1251" s="167" t="s">
        <v>208</v>
      </c>
      <c r="B1251" s="171" t="s">
        <v>191</v>
      </c>
      <c r="C1251" s="171" t="s">
        <v>336</v>
      </c>
      <c r="D1251" s="172">
        <v>18716807</v>
      </c>
      <c r="E1251" s="173" t="s">
        <v>202</v>
      </c>
      <c r="F1251" s="173" t="s">
        <v>203</v>
      </c>
      <c r="G1251" s="262" t="s">
        <v>705</v>
      </c>
      <c r="H1251" s="173" t="s">
        <v>45</v>
      </c>
      <c r="I1251" s="173" t="s">
        <v>40</v>
      </c>
      <c r="J1251" s="173" t="s">
        <v>40</v>
      </c>
      <c r="K1251" s="240">
        <v>41683</v>
      </c>
      <c r="L1251" s="173"/>
      <c r="M1251" s="262" t="s">
        <v>712</v>
      </c>
      <c r="N1251" s="337"/>
      <c r="O1251" s="461">
        <f>CompletedProjects[[#This Row],[Power Plant Size (MW) or Share]]*0.593*9057*211.9*10^(-9)</f>
        <v>0</v>
      </c>
      <c r="P1251" s="337">
        <f>CompletedProjects[[#This Row],[Annual Emissions (MMTCO2)]]*40</f>
        <v>0</v>
      </c>
      <c r="Q1251" s="176"/>
      <c r="R1251" s="178"/>
      <c r="S1251" s="167"/>
      <c r="T1251" s="178"/>
    </row>
    <row r="1252" spans="1:20" customFormat="1" ht="86">
      <c r="A1252" s="167" t="s">
        <v>208</v>
      </c>
      <c r="B1252" s="167" t="s">
        <v>512</v>
      </c>
      <c r="C1252" s="167" t="s">
        <v>464</v>
      </c>
      <c r="D1252" s="172">
        <f>7500000*'Dev Bank Share by Country'!$E$184</f>
        <v>787032.61027870548</v>
      </c>
      <c r="E1252" s="173" t="s">
        <v>456</v>
      </c>
      <c r="F1252" s="173" t="s">
        <v>457</v>
      </c>
      <c r="G1252" s="262" t="s">
        <v>794</v>
      </c>
      <c r="H1252" s="173" t="s">
        <v>458</v>
      </c>
      <c r="I1252" s="180" t="s">
        <v>283</v>
      </c>
      <c r="J1252" s="173" t="s">
        <v>26</v>
      </c>
      <c r="K1252" s="241">
        <v>41627</v>
      </c>
      <c r="L1252" s="173" t="s">
        <v>899</v>
      </c>
      <c r="M1252" s="262"/>
      <c r="N1252" s="256">
        <f>125/19</f>
        <v>6.5789473684210522</v>
      </c>
      <c r="O1252" s="461">
        <f>CompletedProjects[[#This Row],[Power Plant Size (MW) or Share]]*0.593*9057*211.9*10^(-9)</f>
        <v>7.487320604605263E-3</v>
      </c>
      <c r="P1252" s="337">
        <f>CompletedProjects[[#This Row],[Annual Emissions (MMTCO2)]]*40</f>
        <v>0.29949282418421053</v>
      </c>
      <c r="Q1252" s="167"/>
      <c r="R1252" s="167" t="s">
        <v>637</v>
      </c>
      <c r="S1252" s="167" t="s">
        <v>633</v>
      </c>
      <c r="T1252" s="167" t="s">
        <v>537</v>
      </c>
    </row>
    <row r="1253" spans="1:20" customFormat="1" ht="100.35">
      <c r="A1253" s="167" t="s">
        <v>208</v>
      </c>
      <c r="B1253" s="167" t="s">
        <v>511</v>
      </c>
      <c r="C1253" s="167" t="s">
        <v>464</v>
      </c>
      <c r="D1253" s="172">
        <f>146970000*'Dev Bank Share by Country'!$G$184</f>
        <v>32609250.991644043</v>
      </c>
      <c r="E1253" s="173" t="s">
        <v>459</v>
      </c>
      <c r="F1253" s="173" t="s">
        <v>460</v>
      </c>
      <c r="G1253" s="262" t="s">
        <v>784</v>
      </c>
      <c r="H1253" s="173" t="s">
        <v>239</v>
      </c>
      <c r="I1253" s="180" t="s">
        <v>283</v>
      </c>
      <c r="J1253" s="173" t="s">
        <v>26</v>
      </c>
      <c r="K1253" s="241">
        <v>41701</v>
      </c>
      <c r="L1253" s="173" t="s">
        <v>900</v>
      </c>
      <c r="M1253" s="262"/>
      <c r="N1253" s="256"/>
      <c r="O1253" s="461">
        <f>CompletedProjects[[#This Row],[Power Plant Size (MW) or Share]]*0.593*9057*211.9*10^(-9)</f>
        <v>0</v>
      </c>
      <c r="P1253" s="337">
        <f>CompletedProjects[[#This Row],[Annual Emissions (MMTCO2)]]*40</f>
        <v>0</v>
      </c>
      <c r="Q1253" s="167"/>
      <c r="R1253" s="167" t="s">
        <v>400</v>
      </c>
      <c r="S1253" s="167" t="s">
        <v>465</v>
      </c>
      <c r="T1253" s="167"/>
    </row>
    <row r="1254" spans="1:20" customFormat="1" ht="28.7">
      <c r="A1254" s="183" t="s">
        <v>208</v>
      </c>
      <c r="B1254" s="183" t="s">
        <v>519</v>
      </c>
      <c r="C1254" s="183" t="s">
        <v>464</v>
      </c>
      <c r="D1254" s="172">
        <f>120000000*'Dev Bank Share by Country'!$K$184</f>
        <v>18616800</v>
      </c>
      <c r="E1254" s="173" t="s">
        <v>533</v>
      </c>
      <c r="F1254" s="173" t="s">
        <v>534</v>
      </c>
      <c r="G1254" s="262"/>
      <c r="H1254" s="173" t="s">
        <v>95</v>
      </c>
      <c r="I1254" s="180" t="s">
        <v>283</v>
      </c>
      <c r="J1254" s="173" t="s">
        <v>277</v>
      </c>
      <c r="K1254" s="241">
        <v>40158</v>
      </c>
      <c r="L1254" s="173" t="s">
        <v>535</v>
      </c>
      <c r="M1254" s="262"/>
      <c r="N1254" s="337">
        <f>200/13</f>
        <v>15.384615384615385</v>
      </c>
      <c r="O1254" s="461">
        <f>CompletedProjects[[#This Row],[Power Plant Size (MW) or Share]]*0.593*9057*211.9*10^(-9)</f>
        <v>1.750881126E-2</v>
      </c>
      <c r="P1254" s="337">
        <f>CompletedProjects[[#This Row],[Annual Emissions (MMTCO2)]]*40</f>
        <v>0.70035245040000005</v>
      </c>
      <c r="Q1254" s="176"/>
      <c r="R1254" s="178"/>
      <c r="S1254" s="167"/>
      <c r="T1254" s="178"/>
    </row>
    <row r="1255" spans="1:20" customFormat="1" ht="129">
      <c r="A1255" s="181" t="s">
        <v>208</v>
      </c>
      <c r="B1255" s="182" t="s">
        <v>509</v>
      </c>
      <c r="C1255" s="182" t="s">
        <v>464</v>
      </c>
      <c r="D1255" s="172">
        <v>13072636.079977972</v>
      </c>
      <c r="E1255" s="173" t="s">
        <v>556</v>
      </c>
      <c r="F1255" s="173" t="s">
        <v>555</v>
      </c>
      <c r="G1255" s="262"/>
      <c r="H1255" s="173" t="s">
        <v>554</v>
      </c>
      <c r="I1255" s="173" t="s">
        <v>283</v>
      </c>
      <c r="J1255" s="173" t="s">
        <v>26</v>
      </c>
      <c r="K1255" s="240">
        <v>42064</v>
      </c>
      <c r="L1255" s="173" t="s">
        <v>857</v>
      </c>
      <c r="M1255" s="262" t="s">
        <v>858</v>
      </c>
      <c r="N1255" s="337"/>
      <c r="O1255" s="461">
        <f>CompletedProjects[[#This Row],[Power Plant Size (MW) or Share]]*0.593*9057*211.9*10^(-9)</f>
        <v>0</v>
      </c>
      <c r="P1255" s="337">
        <f>CompletedProjects[[#This Row],[Annual Emissions (MMTCO2)]]*40</f>
        <v>0</v>
      </c>
      <c r="Q1255" s="176"/>
      <c r="R1255" s="178" t="s">
        <v>537</v>
      </c>
      <c r="S1255" s="167"/>
      <c r="T1255" s="178"/>
    </row>
    <row r="1256" spans="1:20" customFormat="1" ht="43">
      <c r="A1256" s="167" t="s">
        <v>208</v>
      </c>
      <c r="B1256" s="171" t="s">
        <v>559</v>
      </c>
      <c r="C1256" s="171" t="s">
        <v>464</v>
      </c>
      <c r="D1256" s="172">
        <v>8316629.3248711945</v>
      </c>
      <c r="E1256" s="173" t="s">
        <v>595</v>
      </c>
      <c r="F1256" s="173" t="s">
        <v>594</v>
      </c>
      <c r="G1256" s="262" t="s">
        <v>796</v>
      </c>
      <c r="H1256" s="173" t="s">
        <v>45</v>
      </c>
      <c r="I1256" s="180" t="s">
        <v>283</v>
      </c>
      <c r="J1256" s="173" t="s">
        <v>277</v>
      </c>
      <c r="K1256" s="240">
        <v>40032</v>
      </c>
      <c r="L1256" s="173"/>
      <c r="M1256" s="262"/>
      <c r="N1256" s="338">
        <f>185/12</f>
        <v>15.416666666666666</v>
      </c>
      <c r="O1256" s="461">
        <f>CompletedProjects[[#This Row],[Power Plant Size (MW) or Share]]*0.593*9057*211.9*10^(-9)</f>
        <v>1.7545287950124999E-2</v>
      </c>
      <c r="P1256" s="337">
        <f>CompletedProjects[[#This Row],[Annual Emissions (MMTCO2)]]*40</f>
        <v>0.70181151800499997</v>
      </c>
      <c r="Q1256" s="169"/>
      <c r="R1256" s="185"/>
      <c r="S1256" s="181"/>
      <c r="T1256" s="185"/>
    </row>
    <row r="1257" spans="1:20" s="147" customFormat="1" ht="51" customHeight="1">
      <c r="A1257" s="167" t="s">
        <v>208</v>
      </c>
      <c r="B1257" s="182" t="s">
        <v>509</v>
      </c>
      <c r="C1257" s="182" t="s">
        <v>464</v>
      </c>
      <c r="D1257" s="172">
        <v>73533577.9498761</v>
      </c>
      <c r="E1257" s="173" t="s">
        <v>41</v>
      </c>
      <c r="F1257" s="173" t="s">
        <v>553</v>
      </c>
      <c r="G1257" s="262" t="s">
        <v>788</v>
      </c>
      <c r="H1257" s="173" t="s">
        <v>25</v>
      </c>
      <c r="I1257" s="173" t="s">
        <v>284</v>
      </c>
      <c r="J1257" s="173" t="s">
        <v>79</v>
      </c>
      <c r="K1257" s="240">
        <v>42359</v>
      </c>
      <c r="L1257" s="173" t="s">
        <v>1326</v>
      </c>
      <c r="M1257" s="262" t="s">
        <v>861</v>
      </c>
      <c r="N1257" s="337"/>
      <c r="O1257" s="461">
        <f>CompletedProjects[[#This Row],[Power Plant Size (MW) or Share]]*0.593*9057*211.9*10^(-9)</f>
        <v>0</v>
      </c>
      <c r="P1257" s="337">
        <f>CompletedProjects[[#This Row],[Annual Emissions (MMTCO2)]]*40</f>
        <v>0</v>
      </c>
      <c r="Q1257" s="176"/>
      <c r="R1257" s="178"/>
      <c r="S1257" s="167"/>
      <c r="T1257" s="178"/>
    </row>
    <row r="1258" spans="1:20" s="146" customFormat="1">
      <c r="A1258" s="85" t="s">
        <v>1509</v>
      </c>
      <c r="B1258" s="313"/>
      <c r="C1258" s="313"/>
      <c r="D1258" s="325">
        <f>SUBTOTAL(109,CompletedProjects[Amount (in USD)])</f>
        <v>76273649128.823563</v>
      </c>
      <c r="E1258" s="314"/>
      <c r="F1258" s="314"/>
      <c r="G1258" s="315"/>
      <c r="H1258" s="314"/>
      <c r="I1258" s="314"/>
      <c r="J1258" s="314"/>
      <c r="K1258" s="316"/>
      <c r="L1258" s="317"/>
      <c r="M1258" s="318"/>
      <c r="N1258" s="471">
        <f>SUBTOTAL(109,CompletedProjects[Power Plant Size (MW) or Share])</f>
        <v>122592.91623674562</v>
      </c>
      <c r="O1258" s="472">
        <f>SUBTOTAL(109,CompletedProjects[Annual Emissions (MMTCO2)])</f>
        <v>139.51965509314115</v>
      </c>
      <c r="P1258" s="471">
        <f>SUBTOTAL(109,CompletedProjects[Lifetime Emissions (MMTCO2)])</f>
        <v>5580.7862037256382</v>
      </c>
      <c r="Q1258" s="319">
        <f>SUBTOTAL(109,CompletedProjects[Coal Mine Size (Mtpa)])</f>
        <v>264.50000000000006</v>
      </c>
      <c r="R1258" s="320"/>
      <c r="S1258" s="85">
        <f>SUBTOTAL(103,CompletedProjects[Project Status])</f>
        <v>510</v>
      </c>
      <c r="T1258" s="320"/>
    </row>
    <row r="1259" spans="1:20" s="146" customFormat="1" ht="54.6" customHeight="1">
      <c r="D1259" s="322"/>
      <c r="L1259" s="308"/>
      <c r="M1259" s="308"/>
      <c r="N1259" s="341"/>
      <c r="O1259" s="341"/>
      <c r="P1259" s="341"/>
    </row>
    <row r="1260" spans="1:20" s="146" customFormat="1">
      <c r="D1260" s="322"/>
      <c r="L1260" s="308"/>
      <c r="M1260" s="308"/>
      <c r="N1260" s="341"/>
      <c r="O1260" s="341"/>
      <c r="P1260" s="341"/>
    </row>
    <row r="1261" spans="1:20" s="146" customFormat="1">
      <c r="D1261" s="322"/>
      <c r="L1261" s="308"/>
      <c r="M1261" s="308"/>
      <c r="N1261" s="341"/>
      <c r="O1261" s="341"/>
      <c r="P1261" s="341"/>
    </row>
    <row r="1262" spans="1:20" s="146" customFormat="1">
      <c r="D1262" s="322"/>
      <c r="L1262" s="308"/>
      <c r="M1262" s="308"/>
      <c r="N1262" s="341"/>
      <c r="O1262" s="341"/>
      <c r="P1262" s="341"/>
    </row>
    <row r="1263" spans="1:20" s="146" customFormat="1" hidden="1">
      <c r="D1263" s="323"/>
      <c r="L1263" s="308"/>
      <c r="M1263" s="308"/>
      <c r="N1263" s="341"/>
      <c r="O1263" s="341"/>
      <c r="P1263" s="341"/>
    </row>
    <row r="1264" spans="1:20" s="146" customFormat="1" hidden="1">
      <c r="D1264" s="322"/>
      <c r="L1264" s="308"/>
      <c r="M1264" s="308"/>
      <c r="N1264" s="341"/>
      <c r="O1264" s="341"/>
      <c r="P1264" s="341"/>
    </row>
    <row r="1265" spans="1:20" s="146" customFormat="1" hidden="1">
      <c r="D1265" s="322"/>
      <c r="L1265" s="308"/>
      <c r="M1265" s="308"/>
      <c r="N1265" s="341"/>
      <c r="O1265" s="341"/>
      <c r="P1265" s="341"/>
    </row>
    <row r="1266" spans="1:20" customFormat="1" hidden="1">
      <c r="A1266" s="146"/>
      <c r="B1266" s="146"/>
      <c r="C1266" s="146"/>
      <c r="D1266" s="322"/>
      <c r="E1266" s="146"/>
      <c r="F1266" s="146"/>
      <c r="G1266" s="146"/>
      <c r="H1266" s="146"/>
      <c r="I1266" s="146"/>
      <c r="J1266" s="146"/>
      <c r="K1266" s="146"/>
      <c r="L1266" s="308"/>
      <c r="M1266" s="308"/>
      <c r="N1266" s="341"/>
      <c r="O1266" s="341"/>
      <c r="P1266" s="341"/>
      <c r="Q1266" s="146"/>
      <c r="R1266" s="146"/>
      <c r="S1266" s="146"/>
      <c r="T1266" s="146"/>
    </row>
    <row r="1267" spans="1:20" customFormat="1" hidden="1">
      <c r="D1267" s="324"/>
      <c r="G1267" s="5"/>
      <c r="J1267" s="160"/>
      <c r="K1267" s="249"/>
      <c r="L1267" s="5"/>
      <c r="M1267" s="5"/>
      <c r="N1267" s="142"/>
      <c r="O1267" s="142"/>
      <c r="P1267" s="142"/>
      <c r="T1267" s="254"/>
    </row>
    <row r="1268" spans="1:20" customFormat="1" hidden="1">
      <c r="D1268" s="324"/>
      <c r="G1268" s="5"/>
      <c r="J1268" s="160"/>
      <c r="K1268" s="249"/>
      <c r="L1268" s="5"/>
      <c r="M1268" s="5"/>
      <c r="N1268" s="142"/>
      <c r="O1268" s="142"/>
      <c r="P1268" s="142"/>
      <c r="T1268" s="254"/>
    </row>
    <row r="1269" spans="1:20" customFormat="1" hidden="1">
      <c r="D1269" s="324"/>
      <c r="G1269" s="5"/>
      <c r="J1269" s="160"/>
      <c r="K1269" s="249"/>
      <c r="L1269" s="5"/>
      <c r="M1269" s="5"/>
      <c r="N1269" s="142"/>
      <c r="O1269" s="142"/>
      <c r="P1269" s="142"/>
      <c r="T1269" s="254"/>
    </row>
    <row r="1270" spans="1:20" customFormat="1" hidden="1">
      <c r="D1270" s="324"/>
      <c r="G1270" s="5"/>
      <c r="J1270" s="160"/>
      <c r="K1270" s="249"/>
      <c r="L1270" s="5"/>
      <c r="M1270" s="5"/>
      <c r="N1270" s="142"/>
      <c r="O1270" s="142"/>
      <c r="P1270" s="142"/>
      <c r="T1270" s="254"/>
    </row>
    <row r="1271" spans="1:20" customFormat="1" hidden="1">
      <c r="D1271" s="324"/>
      <c r="G1271" s="5"/>
      <c r="J1271" s="160"/>
      <c r="K1271" s="249"/>
      <c r="L1271" s="5"/>
      <c r="M1271" s="5"/>
      <c r="N1271" s="142"/>
      <c r="O1271" s="142"/>
      <c r="P1271" s="142"/>
      <c r="T1271" s="254"/>
    </row>
    <row r="1272" spans="1:20" customFormat="1" hidden="1">
      <c r="D1272" s="324"/>
      <c r="G1272" s="5"/>
      <c r="J1272" s="160"/>
      <c r="K1272" s="249"/>
      <c r="L1272" s="5"/>
      <c r="M1272" s="5"/>
      <c r="N1272" s="142"/>
      <c r="O1272" s="142"/>
      <c r="P1272" s="142"/>
      <c r="T1272" s="254"/>
    </row>
    <row r="1273" spans="1:20" customFormat="1" hidden="1">
      <c r="D1273" s="324"/>
      <c r="G1273" s="5"/>
      <c r="J1273" s="160"/>
      <c r="K1273" s="249"/>
      <c r="L1273" s="5"/>
      <c r="M1273" s="5"/>
      <c r="N1273" s="142"/>
      <c r="O1273" s="142"/>
      <c r="P1273" s="142"/>
      <c r="T1273" s="254"/>
    </row>
    <row r="1274" spans="1:20" customFormat="1" hidden="1">
      <c r="D1274" s="324"/>
      <c r="G1274" s="5"/>
      <c r="J1274" s="160"/>
      <c r="K1274" s="249"/>
      <c r="L1274" s="5"/>
      <c r="M1274" s="5"/>
      <c r="N1274" s="142"/>
      <c r="O1274" s="142"/>
      <c r="P1274" s="142"/>
      <c r="T1274" s="254"/>
    </row>
    <row r="1275" spans="1:20" customFormat="1" hidden="1">
      <c r="D1275" s="324"/>
      <c r="G1275" s="5"/>
      <c r="J1275" s="160"/>
      <c r="K1275" s="249"/>
      <c r="L1275" s="5"/>
      <c r="M1275" s="5"/>
      <c r="N1275" s="142"/>
      <c r="O1275" s="142"/>
      <c r="P1275" s="142"/>
      <c r="T1275" s="254"/>
    </row>
  </sheetData>
  <conditionalFormatting sqref="E391 E394:H395">
    <cfRule type="cellIs" dxfId="120" priority="19" stopIfTrue="1" operator="equal">
      <formula>$E$11</formula>
    </cfRule>
    <cfRule type="cellIs" dxfId="119" priority="41" stopIfTrue="1" operator="equal">
      <formula>0</formula>
    </cfRule>
  </conditionalFormatting>
  <conditionalFormatting sqref="F391 H391">
    <cfRule type="cellIs" dxfId="118" priority="39" stopIfTrue="1" operator="equal">
      <formula>0</formula>
    </cfRule>
    <cfRule type="cellIs" dxfId="117" priority="42" stopIfTrue="1" operator="equal">
      <formula>$E$11</formula>
    </cfRule>
  </conditionalFormatting>
  <conditionalFormatting sqref="E398:E403">
    <cfRule type="cellIs" dxfId="116" priority="35" stopIfTrue="1" operator="equal">
      <formula>0</formula>
    </cfRule>
  </conditionalFormatting>
  <conditionalFormatting sqref="F398:G403">
    <cfRule type="cellIs" dxfId="115" priority="33" stopIfTrue="1" operator="equal">
      <formula>0</formula>
    </cfRule>
  </conditionalFormatting>
  <conditionalFormatting sqref="H398:H403">
    <cfRule type="cellIs" dxfId="114" priority="31" stopIfTrue="1" operator="equal">
      <formula>0</formula>
    </cfRule>
  </conditionalFormatting>
  <conditionalFormatting sqref="E550">
    <cfRule type="cellIs" dxfId="113" priority="30" stopIfTrue="1" operator="equal">
      <formula>0</formula>
    </cfRule>
  </conditionalFormatting>
  <conditionalFormatting sqref="F550">
    <cfRule type="cellIs" dxfId="112" priority="29" stopIfTrue="1" operator="equal">
      <formula>0</formula>
    </cfRule>
  </conditionalFormatting>
  <conditionalFormatting sqref="E561">
    <cfRule type="cellIs" dxfId="111" priority="28" stopIfTrue="1" operator="equal">
      <formula>0</formula>
    </cfRule>
  </conditionalFormatting>
  <conditionalFormatting sqref="F561">
    <cfRule type="cellIs" dxfId="110" priority="27" stopIfTrue="1" operator="equal">
      <formula>0</formula>
    </cfRule>
  </conditionalFormatting>
  <hyperlinks>
    <hyperlink ref="S415:S420" r:id="rId1" display="ADB News Release"/>
    <hyperlink ref="M1020" r:id="rId2" display="Envi Disclosure"/>
    <hyperlink ref="M1008" r:id="rId3" display="http://www.koreaexim.go.kr/en/banking/export/loan_03_03.jsp"/>
    <hyperlink ref="M1018" r:id="rId4"/>
    <hyperlink ref="M1023" r:id="rId5"/>
    <hyperlink ref="M1026" r:id="rId6"/>
    <hyperlink ref="M1014" r:id="rId7" display="https://ijglobal.com/articles/54667/ij-awards-power-deal-of-the-year;"/>
    <hyperlink ref="M1025" r:id="rId8" display="https://www.ksure.or.kr/jsp/common/FileDown.jsp?f_idx=1333948986791.pdf&amp;f_sz=4762287"/>
    <hyperlink ref="M1021" r:id="rId9" display="https://www.ksure.or.kr/jsp/common/FileDown.jsp?f_idx=1353916217785.pdf&amp;f_sz=87817"/>
    <hyperlink ref="G1169" r:id="rId10"/>
    <hyperlink ref="G209" r:id="rId11"/>
    <hyperlink ref="M253" r:id="rId12"/>
    <hyperlink ref="M272" r:id="rId13"/>
    <hyperlink ref="M250" r:id="rId14" display="http://www.chinadaily.com.cn/xinhua/2013-10-31/content_10471623.html"/>
    <hyperlink ref="M255" r:id="rId15"/>
    <hyperlink ref="M256" r:id="rId16"/>
    <hyperlink ref="M240" r:id="rId17"/>
    <hyperlink ref="M72" r:id="rId18"/>
    <hyperlink ref="G1006" r:id="rId19"/>
    <hyperlink ref="G1008" r:id="rId20"/>
    <hyperlink ref="G1014" r:id="rId21"/>
    <hyperlink ref="G886" r:id="rId22"/>
    <hyperlink ref="G244" r:id="rId23"/>
    <hyperlink ref="G255" r:id="rId24"/>
    <hyperlink ref="G272" r:id="rId25"/>
    <hyperlink ref="G225" r:id="rId26"/>
    <hyperlink ref="M251" r:id="rId27"/>
    <hyperlink ref="G261" r:id="rId28"/>
    <hyperlink ref="M217" r:id="rId29"/>
    <hyperlink ref="G156" r:id="rId30"/>
    <hyperlink ref="G135" r:id="rId31"/>
    <hyperlink ref="G1102" r:id="rId32"/>
    <hyperlink ref="G1185" r:id="rId33"/>
    <hyperlink ref="G2" r:id="rId34"/>
    <hyperlink ref="G36" r:id="rId35"/>
    <hyperlink ref="G202" r:id="rId36"/>
    <hyperlink ref="G516" r:id="rId37"/>
    <hyperlink ref="G807" r:id="rId38"/>
    <hyperlink ref="G852" r:id="rId39"/>
    <hyperlink ref="G964" r:id="rId40"/>
    <hyperlink ref="G930" r:id="rId41"/>
    <hyperlink ref="G1041" r:id="rId42"/>
    <hyperlink ref="G563" r:id="rId43"/>
    <hyperlink ref="G898" r:id="rId44"/>
    <hyperlink ref="G150" r:id="rId45"/>
    <hyperlink ref="G254" r:id="rId46"/>
    <hyperlink ref="M273" r:id="rId47" display="http://www.sourcewatch.org/index.php/Jerada_power_station"/>
    <hyperlink ref="M237" r:id="rId48" display="http://www.sourcewatch.org/index.php/Teluk_Sirih_power_station"/>
    <hyperlink ref="M218" r:id="rId49" display="http://www.sourcewatch.org/index.php/Adipala_power_station"/>
    <hyperlink ref="M257" r:id="rId50" display="http://www.sourcewatch.org/index.php/Vinh_Tan_power_station"/>
    <hyperlink ref="M269" r:id="rId51" display="http://www.sourcewatch.org/index.php/Tabas_power_station"/>
    <hyperlink ref="M258" r:id="rId52" display="http://www.sourcewatch.org/index.php/Quang_Ninh_power_station"/>
    <hyperlink ref="M1221:M1232" r:id="rId53" display="http://www.sourcewatch.org/index.php/Maamba_power_station"/>
    <hyperlink ref="M268" r:id="rId54" display="http://www.reuters.com/article/oil-kazakhstan-china-idUSL5E8H667N20120606"/>
    <hyperlink ref="M248" r:id="rId55" display="http://www.sourcewatch.org/index.php/Celukan_Bawang_power_station"/>
    <hyperlink ref="G250" r:id="rId56"/>
    <hyperlink ref="G260" r:id="rId57"/>
    <hyperlink ref="G253" r:id="rId58"/>
    <hyperlink ref="G264" r:id="rId59"/>
    <hyperlink ref="G262" r:id="rId60"/>
    <hyperlink ref="G286" r:id="rId61"/>
    <hyperlink ref="G245" r:id="rId62"/>
    <hyperlink ref="G259" r:id="rId63"/>
    <hyperlink ref="G287" r:id="rId64"/>
    <hyperlink ref="G294" r:id="rId65"/>
    <hyperlink ref="G766" r:id="rId66"/>
    <hyperlink ref="M214" r:id="rId67"/>
    <hyperlink ref="G1223" r:id="rId68" display="https://ijglobal.com/data/transaction/20648/ayas-coal-fired-power-plant-625mw"/>
    <hyperlink ref="M293" r:id="rId69" display="http://www.sourcewatch.org/index.php/Hwange_power_station"/>
    <hyperlink ref="G13" r:id="rId70"/>
    <hyperlink ref="G52" r:id="rId71"/>
    <hyperlink ref="G159" r:id="rId72"/>
    <hyperlink ref="G234" r:id="rId73"/>
    <hyperlink ref="G333" r:id="rId74"/>
    <hyperlink ref="G438" r:id="rId75"/>
    <hyperlink ref="G582" r:id="rId76"/>
    <hyperlink ref="G639" r:id="rId77"/>
    <hyperlink ref="G730" r:id="rId78"/>
    <hyperlink ref="G1007" r:id="rId79"/>
    <hyperlink ref="G1149" r:id="rId80"/>
    <hyperlink ref="G1227" r:id="rId81"/>
    <hyperlink ref="G993" r:id="rId82"/>
    <hyperlink ref="G22" r:id="rId83"/>
    <hyperlink ref="G1224" r:id="rId84"/>
    <hyperlink ref="G157" r:id="rId85"/>
    <hyperlink ref="M39" r:id="rId86"/>
    <hyperlink ref="M43" r:id="rId87"/>
    <hyperlink ref="G313" r:id="rId88"/>
    <hyperlink ref="G183" r:id="rId89"/>
    <hyperlink ref="G310" r:id="rId90"/>
    <hyperlink ref="G1140" r:id="rId91"/>
    <hyperlink ref="G151" r:id="rId92"/>
    <hyperlink ref="G1193" r:id="rId93"/>
    <hyperlink ref="G351" r:id="rId94"/>
    <hyperlink ref="G164" r:id="rId95"/>
    <hyperlink ref="G1216" r:id="rId96"/>
    <hyperlink ref="G1011" r:id="rId97"/>
    <hyperlink ref="G688" r:id="rId98"/>
    <hyperlink ref="G736" r:id="rId99"/>
    <hyperlink ref="G693" r:id="rId100"/>
    <hyperlink ref="G391" r:id="rId101"/>
    <hyperlink ref="G763" r:id="rId102"/>
    <hyperlink ref="G1151" r:id="rId103"/>
    <hyperlink ref="G656" r:id="rId104"/>
    <hyperlink ref="G1157" r:id="rId105"/>
    <hyperlink ref="G538" r:id="rId106"/>
    <hyperlink ref="G1079" r:id="rId107"/>
    <hyperlink ref="G325" r:id="rId108"/>
    <hyperlink ref="G569" r:id="rId109"/>
    <hyperlink ref="G703" r:id="rId110"/>
    <hyperlink ref="G81" r:id="rId111"/>
    <hyperlink ref="G623" r:id="rId112"/>
    <hyperlink ref="G725" r:id="rId113"/>
    <hyperlink ref="G1028" r:id="rId114"/>
    <hyperlink ref="M1028" r:id="rId115" display="https://www.ksure.or.kr/jsp/common/FileDown.jsp?f_idx=1383097284602.pdf&amp;f_sz=542506"/>
    <hyperlink ref="L293" r:id="rId116" display="http://www.zpc.co.zw/projects/2/hwange-power-station-expansion"/>
    <hyperlink ref="G749" r:id="rId117"/>
    <hyperlink ref="G743" r:id="rId118"/>
    <hyperlink ref="G774" r:id="rId119"/>
    <hyperlink ref="G299" r:id="rId120"/>
    <hyperlink ref="G938" r:id="rId121"/>
    <hyperlink ref="G937" r:id="rId122"/>
    <hyperlink ref="M294" r:id="rId123"/>
    <hyperlink ref="G791" r:id="rId124"/>
    <hyperlink ref="M791" r:id="rId125"/>
    <hyperlink ref="G271" r:id="rId126"/>
    <hyperlink ref="G396" r:id="rId127"/>
    <hyperlink ref="G615" r:id="rId128"/>
    <hyperlink ref="G1125" r:id="rId129"/>
    <hyperlink ref="M249" r:id="rId130"/>
    <hyperlink ref="G247" r:id="rId131"/>
    <hyperlink ref="G789" r:id="rId132"/>
    <hyperlink ref="G788" r:id="rId133"/>
    <hyperlink ref="M970" r:id="rId134"/>
    <hyperlink ref="G48" r:id="rId135"/>
    <hyperlink ref="G873" r:id="rId136"/>
    <hyperlink ref="G825" r:id="rId137"/>
    <hyperlink ref="G718" r:id="rId138"/>
    <hyperlink ref="G997" r:id="rId139"/>
    <hyperlink ref="G1072" r:id="rId140"/>
    <hyperlink ref="G1218" r:id="rId141"/>
    <hyperlink ref="G1138" r:id="rId142"/>
    <hyperlink ref="G629" r:id="rId143"/>
    <hyperlink ref="G421" r:id="rId144"/>
    <hyperlink ref="G322" r:id="rId145"/>
    <hyperlink ref="G149" r:id="rId146"/>
    <hyperlink ref="G787" r:id="rId147"/>
    <hyperlink ref="G790" r:id="rId148"/>
    <hyperlink ref="G701" r:id="rId149"/>
  </hyperlinks>
  <pageMargins left="0.7" right="0.7" top="0.75" bottom="0.75" header="0.3" footer="0.3"/>
  <pageSetup orientation="landscape" r:id="rId150"/>
  <tableParts count="1">
    <tablePart r:id="rId15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ED146"/>
  <sheetViews>
    <sheetView zoomScale="55" zoomScaleNormal="55" workbookViewId="0">
      <pane ySplit="1" topLeftCell="A2" activePane="bottomLeft" state="frozen"/>
      <selection activeCell="L1" sqref="L1"/>
      <selection pane="bottomLeft" activeCell="A8" sqref="A8"/>
    </sheetView>
  </sheetViews>
  <sheetFormatPr defaultColWidth="0" defaultRowHeight="51" customHeight="1" zeroHeight="1"/>
  <cols>
    <col min="1" max="3" width="24.703125" style="351" customWidth="1"/>
    <col min="4" max="4" width="27.41015625" style="257" bestFit="1" customWidth="1"/>
    <col min="5" max="5" width="24.703125" style="351" customWidth="1"/>
    <col min="6" max="6" width="43.703125" style="357" customWidth="1"/>
    <col min="7" max="7" width="24.703125" style="155" customWidth="1"/>
    <col min="8" max="9" width="24.703125" style="147" customWidth="1"/>
    <col min="10" max="10" width="12.5859375" style="152" customWidth="1"/>
    <col min="11" max="11" width="35" style="147" bestFit="1" customWidth="1"/>
    <col min="12" max="12" width="82.1171875" style="428" customWidth="1"/>
    <col min="13" max="13" width="70.29296875" style="351" customWidth="1"/>
    <col min="14" max="15" width="24.703125" style="152" customWidth="1"/>
    <col min="16" max="16" width="24.703125" style="446" customWidth="1"/>
    <col min="17" max="17" width="24.703125" style="152" customWidth="1"/>
    <col min="18" max="18" width="24.703125" style="351" customWidth="1"/>
    <col min="19" max="19" width="24.703125" style="152" customWidth="1"/>
    <col min="20" max="20" width="24.703125" style="147" customWidth="1"/>
    <col min="21" max="134" width="0" style="147" hidden="1" customWidth="1"/>
    <col min="135" max="16384" width="24.703125" style="147" hidden="1"/>
  </cols>
  <sheetData>
    <row r="1" spans="1:19" s="367" customFormat="1" ht="105.75" customHeight="1">
      <c r="A1" s="359" t="s">
        <v>4</v>
      </c>
      <c r="B1" s="360" t="s">
        <v>0</v>
      </c>
      <c r="C1" s="360" t="s">
        <v>335</v>
      </c>
      <c r="D1" s="493" t="s">
        <v>1</v>
      </c>
      <c r="E1" s="360" t="s">
        <v>2</v>
      </c>
      <c r="F1" s="360" t="s">
        <v>3</v>
      </c>
      <c r="G1" s="361" t="s">
        <v>947</v>
      </c>
      <c r="H1" s="362" t="s">
        <v>21</v>
      </c>
      <c r="I1" s="362" t="s">
        <v>1506</v>
      </c>
      <c r="J1" s="362" t="s">
        <v>321</v>
      </c>
      <c r="K1" s="363" t="s">
        <v>6</v>
      </c>
      <c r="L1" s="419" t="s">
        <v>7</v>
      </c>
      <c r="M1" s="360" t="s">
        <v>948</v>
      </c>
      <c r="N1" s="364" t="s">
        <v>1510</v>
      </c>
      <c r="O1" s="365" t="s">
        <v>309</v>
      </c>
      <c r="P1" s="364" t="s">
        <v>310</v>
      </c>
      <c r="Q1" s="366" t="s">
        <v>1511</v>
      </c>
      <c r="R1" s="447" t="s">
        <v>345</v>
      </c>
      <c r="S1" s="447" t="s">
        <v>634</v>
      </c>
    </row>
    <row r="2" spans="1:19" s="9" customFormat="1" ht="86">
      <c r="A2" s="269" t="s">
        <v>239</v>
      </c>
      <c r="B2" s="297" t="s">
        <v>1061</v>
      </c>
      <c r="C2" s="297" t="s">
        <v>337</v>
      </c>
      <c r="D2" s="494">
        <v>207000000</v>
      </c>
      <c r="E2" s="269" t="s">
        <v>1771</v>
      </c>
      <c r="F2" s="298" t="s">
        <v>1415</v>
      </c>
      <c r="G2" s="262" t="s">
        <v>1366</v>
      </c>
      <c r="H2" s="180" t="s">
        <v>442</v>
      </c>
      <c r="I2" s="180" t="s">
        <v>283</v>
      </c>
      <c r="J2" s="173" t="s">
        <v>1499</v>
      </c>
      <c r="K2" s="368">
        <v>42468</v>
      </c>
      <c r="L2" s="481" t="s">
        <v>1772</v>
      </c>
      <c r="M2" s="262" t="s">
        <v>1414</v>
      </c>
      <c r="N2" s="335">
        <v>660</v>
      </c>
      <c r="O2" s="436">
        <f>Pending[[#This Row],[Power Plant Size (MW) or Share]]*0.593*9057*211.9*10^(-9)</f>
        <v>0.75112800305400007</v>
      </c>
      <c r="P2" s="335">
        <f>Pending[[#This Row],[Annual Emissions (MMTCO2)]]*40</f>
        <v>30.045120122160004</v>
      </c>
      <c r="Q2" s="437"/>
      <c r="R2" s="377"/>
      <c r="S2" s="438"/>
    </row>
    <row r="3" spans="1:19" s="17" customFormat="1" ht="51" customHeight="1">
      <c r="A3" s="352" t="s">
        <v>45</v>
      </c>
      <c r="B3" s="352" t="s">
        <v>1556</v>
      </c>
      <c r="C3" s="352" t="s">
        <v>1306</v>
      </c>
      <c r="D3" s="494">
        <v>112500000</v>
      </c>
      <c r="E3" s="284" t="s">
        <v>1557</v>
      </c>
      <c r="F3" s="284" t="s">
        <v>1558</v>
      </c>
      <c r="G3" s="285" t="s">
        <v>1559</v>
      </c>
      <c r="H3" s="259" t="s">
        <v>45</v>
      </c>
      <c r="I3" s="181" t="s">
        <v>284</v>
      </c>
      <c r="J3" s="181" t="s">
        <v>1497</v>
      </c>
      <c r="K3" s="368">
        <v>42419</v>
      </c>
      <c r="L3" s="85"/>
      <c r="M3" s="286" t="s">
        <v>1559</v>
      </c>
      <c r="N3" s="336"/>
      <c r="O3" s="436">
        <f>Pending[[#This Row],[Power Plant Size (MW) or Share]]*0.593*9057*211.9*10^(-9)</f>
        <v>0</v>
      </c>
      <c r="P3" s="335">
        <f>Pending[[#This Row],[Annual Emissions (MMTCO2)]]*40</f>
        <v>0</v>
      </c>
      <c r="Q3" s="336"/>
      <c r="R3" s="448"/>
      <c r="S3" s="439"/>
    </row>
    <row r="4" spans="1:19" s="17" customFormat="1" ht="51" customHeight="1">
      <c r="A4" s="369" t="s">
        <v>160</v>
      </c>
      <c r="B4" s="353" t="s">
        <v>1518</v>
      </c>
      <c r="C4" s="353" t="s">
        <v>337</v>
      </c>
      <c r="D4" s="494">
        <v>3000000</v>
      </c>
      <c r="E4" s="298" t="s">
        <v>1519</v>
      </c>
      <c r="F4" s="298" t="s">
        <v>1575</v>
      </c>
      <c r="G4" s="267" t="s">
        <v>1520</v>
      </c>
      <c r="H4" s="183" t="s">
        <v>85</v>
      </c>
      <c r="I4" s="183" t="s">
        <v>284</v>
      </c>
      <c r="J4" s="183" t="s">
        <v>1521</v>
      </c>
      <c r="K4" s="368">
        <v>42439</v>
      </c>
      <c r="L4" s="421"/>
      <c r="M4" s="267"/>
      <c r="N4" s="336"/>
      <c r="O4" s="436">
        <f>Pending[[#This Row],[Power Plant Size (MW) or Share]]*0.593*9057*211.9*10^(-9)</f>
        <v>0</v>
      </c>
      <c r="P4" s="335">
        <f>Pending[[#This Row],[Annual Emissions (MMTCO2)]]*40</f>
        <v>0</v>
      </c>
      <c r="Q4" s="336"/>
      <c r="R4" s="448"/>
      <c r="S4" s="440"/>
    </row>
    <row r="5" spans="1:19" s="17" customFormat="1" ht="51" customHeight="1">
      <c r="A5" s="269" t="s">
        <v>160</v>
      </c>
      <c r="B5" s="297" t="s">
        <v>87</v>
      </c>
      <c r="C5" s="297" t="s">
        <v>336</v>
      </c>
      <c r="D5" s="494">
        <v>107000000</v>
      </c>
      <c r="E5" s="271" t="s">
        <v>1522</v>
      </c>
      <c r="F5" s="271" t="s">
        <v>1523</v>
      </c>
      <c r="G5" s="342" t="s">
        <v>1524</v>
      </c>
      <c r="H5" s="260" t="s">
        <v>85</v>
      </c>
      <c r="I5" s="171" t="s">
        <v>283</v>
      </c>
      <c r="J5" s="260" t="s">
        <v>1525</v>
      </c>
      <c r="K5" s="368">
        <v>42443</v>
      </c>
      <c r="L5" s="422"/>
      <c r="M5" s="262" t="s">
        <v>955</v>
      </c>
      <c r="N5" s="335">
        <f>315/2</f>
        <v>157.5</v>
      </c>
      <c r="O5" s="436">
        <f>Pending[[#This Row],[Power Plant Size (MW) or Share]]*0.593*9057*211.9*10^(-9)</f>
        <v>0.17924645527425001</v>
      </c>
      <c r="P5" s="335">
        <f>Pending[[#This Row],[Annual Emissions (MMTCO2)]]*40</f>
        <v>7.1698582109700002</v>
      </c>
      <c r="Q5" s="335"/>
      <c r="R5" s="296" t="s">
        <v>537</v>
      </c>
      <c r="S5" s="438" t="s">
        <v>537</v>
      </c>
    </row>
    <row r="6" spans="1:19" s="17" customFormat="1" ht="43">
      <c r="A6" s="269" t="s">
        <v>160</v>
      </c>
      <c r="B6" s="297" t="s">
        <v>161</v>
      </c>
      <c r="C6" s="297" t="s">
        <v>336</v>
      </c>
      <c r="D6" s="494">
        <v>127000000</v>
      </c>
      <c r="E6" s="271" t="s">
        <v>1522</v>
      </c>
      <c r="F6" s="271" t="s">
        <v>1526</v>
      </c>
      <c r="G6" s="342" t="s">
        <v>1527</v>
      </c>
      <c r="H6" s="180" t="s">
        <v>85</v>
      </c>
      <c r="I6" s="171" t="s">
        <v>283</v>
      </c>
      <c r="J6" s="173" t="s">
        <v>248</v>
      </c>
      <c r="K6" s="368">
        <v>42445</v>
      </c>
      <c r="L6" s="422" t="s">
        <v>567</v>
      </c>
      <c r="M6" s="262" t="s">
        <v>955</v>
      </c>
      <c r="N6" s="335">
        <f>315/2</f>
        <v>157.5</v>
      </c>
      <c r="O6" s="436">
        <f>Pending[[#This Row],[Power Plant Size (MW) or Share]]*0.593*9057*211.9*10^(-9)</f>
        <v>0.17924645527425001</v>
      </c>
      <c r="P6" s="335">
        <f>Pending[[#This Row],[Annual Emissions (MMTCO2)]]*40</f>
        <v>7.1698582109700002</v>
      </c>
      <c r="Q6" s="335"/>
      <c r="R6" s="296" t="s">
        <v>537</v>
      </c>
      <c r="S6" s="438" t="s">
        <v>537</v>
      </c>
    </row>
    <row r="7" spans="1:19" s="17" customFormat="1" ht="61.7">
      <c r="A7" s="271" t="s">
        <v>1309</v>
      </c>
      <c r="B7" s="354" t="s">
        <v>1432</v>
      </c>
      <c r="C7" s="271" t="s">
        <v>337</v>
      </c>
      <c r="D7" s="494">
        <v>72060000</v>
      </c>
      <c r="E7" s="271" t="s">
        <v>1512</v>
      </c>
      <c r="F7" s="271" t="s">
        <v>1513</v>
      </c>
      <c r="G7" s="342" t="s">
        <v>1514</v>
      </c>
      <c r="H7" s="260" t="s">
        <v>1309</v>
      </c>
      <c r="I7" s="260" t="s">
        <v>284</v>
      </c>
      <c r="J7" s="183" t="s">
        <v>1515</v>
      </c>
      <c r="K7" s="368">
        <v>42461</v>
      </c>
      <c r="L7" s="423"/>
      <c r="M7" s="271"/>
      <c r="N7" s="343"/>
      <c r="O7" s="436">
        <f>Pending[[#This Row],[Power Plant Size (MW) or Share]]*0.593*9057*211.9*10^(-9)</f>
        <v>0</v>
      </c>
      <c r="P7" s="335">
        <f>Pending[[#This Row],[Annual Emissions (MMTCO2)]]*40</f>
        <v>0</v>
      </c>
      <c r="Q7" s="343"/>
      <c r="R7" s="271"/>
      <c r="S7" s="343"/>
    </row>
    <row r="8" spans="1:19" s="148" customFormat="1" ht="123.7">
      <c r="A8" s="269" t="s">
        <v>239</v>
      </c>
      <c r="B8" s="353" t="s">
        <v>1061</v>
      </c>
      <c r="C8" s="353" t="s">
        <v>337</v>
      </c>
      <c r="D8" s="494">
        <v>66660000</v>
      </c>
      <c r="E8" s="478" t="s">
        <v>1773</v>
      </c>
      <c r="F8" s="298" t="s">
        <v>1412</v>
      </c>
      <c r="G8" s="262" t="s">
        <v>1410</v>
      </c>
      <c r="H8" s="180" t="s">
        <v>442</v>
      </c>
      <c r="I8" s="173" t="s">
        <v>40</v>
      </c>
      <c r="J8" s="344" t="s">
        <v>40</v>
      </c>
      <c r="K8" s="368">
        <v>42462</v>
      </c>
      <c r="L8" s="426"/>
      <c r="M8" s="262"/>
      <c r="N8" s="335"/>
      <c r="O8" s="436"/>
      <c r="P8" s="335"/>
      <c r="Q8" s="441">
        <v>1.2666666666666666</v>
      </c>
      <c r="R8" s="377"/>
      <c r="S8" s="438"/>
    </row>
    <row r="9" spans="1:19" s="148" customFormat="1" ht="49.35">
      <c r="A9" s="269" t="s">
        <v>239</v>
      </c>
      <c r="B9" s="353" t="s">
        <v>1061</v>
      </c>
      <c r="C9" s="353" t="s">
        <v>337</v>
      </c>
      <c r="D9" s="495">
        <v>1800000000</v>
      </c>
      <c r="E9" s="356" t="s">
        <v>1767</v>
      </c>
      <c r="F9" s="406" t="s">
        <v>1768</v>
      </c>
      <c r="G9" s="264" t="s">
        <v>1769</v>
      </c>
      <c r="H9" s="180" t="s">
        <v>85</v>
      </c>
      <c r="I9" s="171" t="s">
        <v>283</v>
      </c>
      <c r="J9" s="372" t="s">
        <v>283</v>
      </c>
      <c r="K9" s="384">
        <v>42642</v>
      </c>
      <c r="L9" s="426"/>
      <c r="M9" s="262"/>
      <c r="N9" s="340">
        <v>2000</v>
      </c>
      <c r="O9" s="475">
        <f>Pending[[#This Row],[Power Plant Size (MW) or Share]]*0.593*9057*211.9*10^(-9)</f>
        <v>2.2761454638000003</v>
      </c>
      <c r="P9" s="340">
        <f>Pending[[#This Row],[Annual Emissions (MMTCO2)]]*40</f>
        <v>91.045818552000014</v>
      </c>
      <c r="Q9" s="475"/>
      <c r="R9" s="476"/>
      <c r="S9" s="438" t="s">
        <v>1770</v>
      </c>
    </row>
    <row r="10" spans="1:19" s="345" customFormat="1" ht="43">
      <c r="A10" s="269" t="s">
        <v>75</v>
      </c>
      <c r="B10" s="297" t="s">
        <v>34</v>
      </c>
      <c r="C10" s="297" t="s">
        <v>336</v>
      </c>
      <c r="D10" s="496"/>
      <c r="E10" s="269"/>
      <c r="F10" s="269" t="s">
        <v>1580</v>
      </c>
      <c r="G10" s="346"/>
      <c r="H10" s="370" t="s">
        <v>362</v>
      </c>
      <c r="I10" s="171" t="s">
        <v>283</v>
      </c>
      <c r="J10" s="372" t="s">
        <v>283</v>
      </c>
      <c r="K10" s="368">
        <v>42522</v>
      </c>
      <c r="L10" s="422" t="s">
        <v>1347</v>
      </c>
      <c r="M10" s="429"/>
      <c r="N10" s="335">
        <v>0</v>
      </c>
      <c r="O10" s="436">
        <f>Pending[[#This Row],[Power Plant Size (MW) or Share]]*0.593*9057*211.9*10^(-9)</f>
        <v>0</v>
      </c>
      <c r="P10" s="335">
        <f>Pending[[#This Row],[Annual Emissions (MMTCO2)]]*40</f>
        <v>0</v>
      </c>
      <c r="Q10" s="335"/>
      <c r="R10" s="294"/>
      <c r="S10" s="442" t="s">
        <v>1442</v>
      </c>
    </row>
    <row r="11" spans="1:19" s="17" customFormat="1" ht="86">
      <c r="A11" s="269" t="s">
        <v>160</v>
      </c>
      <c r="B11" s="297" t="s">
        <v>87</v>
      </c>
      <c r="C11" s="297" t="s">
        <v>336</v>
      </c>
      <c r="D11" s="497">
        <v>2052000000</v>
      </c>
      <c r="E11" s="269" t="s">
        <v>1427</v>
      </c>
      <c r="F11" s="269" t="s">
        <v>566</v>
      </c>
      <c r="G11" s="346" t="s">
        <v>1670</v>
      </c>
      <c r="H11" s="180" t="s">
        <v>85</v>
      </c>
      <c r="I11" s="180" t="s">
        <v>283</v>
      </c>
      <c r="J11" s="173" t="s">
        <v>26</v>
      </c>
      <c r="K11" s="368">
        <v>42528</v>
      </c>
      <c r="L11" s="424" t="s">
        <v>1731</v>
      </c>
      <c r="M11" s="430" t="s">
        <v>1730</v>
      </c>
      <c r="N11" s="335">
        <v>2000</v>
      </c>
      <c r="O11" s="436">
        <f>Pending[[#This Row],[Power Plant Size (MW) or Share]]*0.593*9057*211.9*10^(-9)</f>
        <v>2.2761454638000003</v>
      </c>
      <c r="P11" s="335">
        <f>Pending[[#This Row],[Annual Emissions (MMTCO2)]]*40</f>
        <v>91.045818552000014</v>
      </c>
      <c r="Q11" s="335"/>
      <c r="R11" s="269"/>
      <c r="S11" s="438"/>
    </row>
    <row r="12" spans="1:19" s="17" customFormat="1" ht="57.35">
      <c r="A12" s="380" t="s">
        <v>239</v>
      </c>
      <c r="B12" s="387" t="s">
        <v>1087</v>
      </c>
      <c r="C12" s="380" t="s">
        <v>336</v>
      </c>
      <c r="D12" s="498">
        <v>1300000000</v>
      </c>
      <c r="E12" s="380" t="s">
        <v>1542</v>
      </c>
      <c r="F12" s="380" t="s">
        <v>1625</v>
      </c>
      <c r="G12" s="181" t="s">
        <v>1561</v>
      </c>
      <c r="H12" s="388" t="s">
        <v>1285</v>
      </c>
      <c r="I12" s="167" t="s">
        <v>283</v>
      </c>
      <c r="J12" s="181" t="s">
        <v>1534</v>
      </c>
      <c r="K12" s="378">
        <v>54789</v>
      </c>
      <c r="L12" s="85" t="s">
        <v>1562</v>
      </c>
      <c r="M12" s="432" t="s">
        <v>1543</v>
      </c>
      <c r="N12" s="336">
        <v>600</v>
      </c>
      <c r="O12" s="436">
        <f>Pending[[#This Row],[Power Plant Size (MW) or Share]]*0.593*9057*211.9*10^(-9)</f>
        <v>0.68284363914000001</v>
      </c>
      <c r="P12" s="335">
        <f>Pending[[#This Row],[Annual Emissions (MMTCO2)]]*40</f>
        <v>27.313745565600001</v>
      </c>
      <c r="Q12" s="336"/>
      <c r="R12" s="448"/>
      <c r="S12" s="443"/>
    </row>
    <row r="13" spans="1:19" s="17" customFormat="1" ht="28.7">
      <c r="A13" s="269" t="s">
        <v>160</v>
      </c>
      <c r="B13" s="297" t="s">
        <v>87</v>
      </c>
      <c r="C13" s="297" t="s">
        <v>336</v>
      </c>
      <c r="D13" s="495">
        <v>3700000000</v>
      </c>
      <c r="E13" s="269" t="s">
        <v>1408</v>
      </c>
      <c r="F13" s="298" t="s">
        <v>1632</v>
      </c>
      <c r="G13" s="373" t="s">
        <v>1409</v>
      </c>
      <c r="H13" s="370" t="s">
        <v>273</v>
      </c>
      <c r="I13" s="171" t="s">
        <v>283</v>
      </c>
      <c r="J13" s="372" t="s">
        <v>26</v>
      </c>
      <c r="K13" s="378">
        <v>54789</v>
      </c>
      <c r="L13" s="420"/>
      <c r="M13" s="262"/>
      <c r="N13" s="335">
        <v>1200</v>
      </c>
      <c r="O13" s="436">
        <f>Pending[[#This Row],[Power Plant Size (MW) or Share]]*0.593*9057*211.9*10^(-9)</f>
        <v>1.36568727828</v>
      </c>
      <c r="P13" s="335">
        <f>Pending[[#This Row],[Annual Emissions (MMTCO2)]]*40</f>
        <v>54.627491131200003</v>
      </c>
      <c r="Q13" s="335"/>
      <c r="R13" s="377"/>
      <c r="S13" s="442"/>
    </row>
    <row r="14" spans="1:19" s="17" customFormat="1" ht="57.35">
      <c r="A14" s="269" t="s">
        <v>160</v>
      </c>
      <c r="B14" s="297" t="s">
        <v>87</v>
      </c>
      <c r="C14" s="297" t="s">
        <v>336</v>
      </c>
      <c r="D14" s="495">
        <v>1600000000</v>
      </c>
      <c r="E14" s="269" t="s">
        <v>583</v>
      </c>
      <c r="F14" s="269" t="s">
        <v>1636</v>
      </c>
      <c r="G14" s="373"/>
      <c r="H14" s="370" t="s">
        <v>582</v>
      </c>
      <c r="I14" s="171" t="s">
        <v>283</v>
      </c>
      <c r="J14" s="372" t="s">
        <v>26</v>
      </c>
      <c r="K14" s="368">
        <v>54789</v>
      </c>
      <c r="L14" s="422" t="s">
        <v>584</v>
      </c>
      <c r="M14" s="262" t="s">
        <v>585</v>
      </c>
      <c r="N14" s="335">
        <v>1280</v>
      </c>
      <c r="O14" s="436">
        <f>Pending[[#This Row],[Power Plant Size (MW) or Share]]*0.593*9057*211.9*10^(-9)</f>
        <v>1.4567330968319998</v>
      </c>
      <c r="P14" s="335">
        <f>Pending[[#This Row],[Annual Emissions (MMTCO2)]]*40</f>
        <v>58.269323873279994</v>
      </c>
      <c r="Q14" s="335"/>
      <c r="R14" s="296"/>
      <c r="S14" s="438"/>
    </row>
    <row r="15" spans="1:19" s="9" customFormat="1" ht="43">
      <c r="A15" s="296" t="s">
        <v>239</v>
      </c>
      <c r="B15" s="353" t="s">
        <v>1655</v>
      </c>
      <c r="C15" s="353" t="s">
        <v>336</v>
      </c>
      <c r="D15" s="499">
        <f>3000000000/2</f>
        <v>1500000000</v>
      </c>
      <c r="E15" s="269" t="s">
        <v>1639</v>
      </c>
      <c r="F15" s="269" t="s">
        <v>1643</v>
      </c>
      <c r="G15" s="262" t="s">
        <v>1644</v>
      </c>
      <c r="H15" s="173" t="s">
        <v>370</v>
      </c>
      <c r="I15" s="173" t="s">
        <v>283</v>
      </c>
      <c r="J15" s="173" t="s">
        <v>1141</v>
      </c>
      <c r="K15" s="378">
        <v>54789</v>
      </c>
      <c r="L15" s="422" t="s">
        <v>1667</v>
      </c>
      <c r="M15" s="262" t="s">
        <v>1656</v>
      </c>
      <c r="N15" s="335">
        <f>2640/2</f>
        <v>1320</v>
      </c>
      <c r="O15" s="436">
        <f>Pending[[#This Row],[Power Plant Size (MW) or Share]]*0.593*9057*211.9*10^(-9)</f>
        <v>1.5022560061080001</v>
      </c>
      <c r="P15" s="335">
        <f>Pending[[#This Row],[Annual Emissions (MMTCO2)]]*40</f>
        <v>60.090240244320007</v>
      </c>
      <c r="Q15" s="335"/>
      <c r="R15" s="295"/>
      <c r="S15" s="438" t="s">
        <v>1645</v>
      </c>
    </row>
    <row r="16" spans="1:19" s="9" customFormat="1" ht="28.7">
      <c r="A16" s="293" t="s">
        <v>239</v>
      </c>
      <c r="B16" s="379" t="s">
        <v>1061</v>
      </c>
      <c r="C16" s="379" t="s">
        <v>337</v>
      </c>
      <c r="D16" s="499">
        <v>1300000000</v>
      </c>
      <c r="E16" s="380" t="s">
        <v>1611</v>
      </c>
      <c r="F16" s="381" t="s">
        <v>1610</v>
      </c>
      <c r="G16" s="382" t="s">
        <v>1612</v>
      </c>
      <c r="H16" s="383" t="s">
        <v>368</v>
      </c>
      <c r="I16" s="171" t="s">
        <v>283</v>
      </c>
      <c r="J16" s="371" t="s">
        <v>26</v>
      </c>
      <c r="K16" s="384">
        <v>54789</v>
      </c>
      <c r="L16" s="426" t="s">
        <v>1613</v>
      </c>
      <c r="M16" s="382" t="s">
        <v>1614</v>
      </c>
      <c r="N16" s="385"/>
      <c r="O16" s="436">
        <f>Pending[[#This Row],[Power Plant Size (MW) or Share]]*0.593*9057*211.9*10^(-9)</f>
        <v>0</v>
      </c>
      <c r="P16" s="335">
        <f>Pending[[#This Row],[Annual Emissions (MMTCO2)]]*40</f>
        <v>0</v>
      </c>
      <c r="Q16" s="340"/>
      <c r="R16" s="305"/>
      <c r="S16" s="438"/>
    </row>
    <row r="17" spans="1:134" s="9" customFormat="1" ht="57.35">
      <c r="A17" s="298" t="s">
        <v>65</v>
      </c>
      <c r="B17" s="353" t="s">
        <v>1470</v>
      </c>
      <c r="C17" s="353" t="s">
        <v>336</v>
      </c>
      <c r="D17" s="499">
        <v>1120000000</v>
      </c>
      <c r="E17" s="298" t="s">
        <v>1471</v>
      </c>
      <c r="F17" s="298" t="s">
        <v>1631</v>
      </c>
      <c r="G17" s="402" t="s">
        <v>1472</v>
      </c>
      <c r="H17" s="403" t="s">
        <v>273</v>
      </c>
      <c r="I17" s="171" t="s">
        <v>283</v>
      </c>
      <c r="J17" s="394" t="s">
        <v>1133</v>
      </c>
      <c r="K17" s="378">
        <v>54789</v>
      </c>
      <c r="L17" s="420" t="s">
        <v>1473</v>
      </c>
      <c r="M17" s="267"/>
      <c r="N17" s="336">
        <v>1320</v>
      </c>
      <c r="O17" s="436">
        <f>Pending[[#This Row],[Power Plant Size (MW) or Share]]*0.593*9057*211.9*10^(-9)</f>
        <v>1.5022560061080001</v>
      </c>
      <c r="P17" s="335">
        <f>Pending[[#This Row],[Annual Emissions (MMTCO2)]]*40</f>
        <v>60.090240244320007</v>
      </c>
      <c r="Q17" s="336"/>
      <c r="R17" s="404"/>
      <c r="S17" s="444"/>
    </row>
    <row r="18" spans="1:134" s="9" customFormat="1" ht="86">
      <c r="A18" s="269" t="s">
        <v>208</v>
      </c>
      <c r="B18" s="353" t="s">
        <v>511</v>
      </c>
      <c r="C18" s="353" t="s">
        <v>464</v>
      </c>
      <c r="D18" s="495">
        <v>998446141.81396341</v>
      </c>
      <c r="E18" s="269" t="s">
        <v>1315</v>
      </c>
      <c r="F18" s="298" t="s">
        <v>1566</v>
      </c>
      <c r="G18" s="376" t="s">
        <v>1314</v>
      </c>
      <c r="H18" s="370" t="s">
        <v>575</v>
      </c>
      <c r="I18" s="180" t="s">
        <v>284</v>
      </c>
      <c r="J18" s="372" t="s">
        <v>247</v>
      </c>
      <c r="K18" s="378">
        <v>54789</v>
      </c>
      <c r="L18" s="420" t="s">
        <v>1313</v>
      </c>
      <c r="M18" s="273"/>
      <c r="N18" s="335"/>
      <c r="O18" s="436">
        <f>Pending[[#This Row],[Power Plant Size (MW) or Share]]*0.593*9057*211.9*10^(-9)</f>
        <v>0</v>
      </c>
      <c r="P18" s="335">
        <f>Pending[[#This Row],[Annual Emissions (MMTCO2)]]*40</f>
        <v>0</v>
      </c>
      <c r="Q18" s="335"/>
      <c r="R18" s="377"/>
      <c r="S18" s="438"/>
    </row>
    <row r="19" spans="1:134" s="9" customFormat="1" ht="28.7">
      <c r="A19" s="269" t="s">
        <v>239</v>
      </c>
      <c r="B19" s="297" t="s">
        <v>1088</v>
      </c>
      <c r="C19" s="297" t="s">
        <v>336</v>
      </c>
      <c r="D19" s="499">
        <v>881880000</v>
      </c>
      <c r="E19" s="375" t="s">
        <v>1122</v>
      </c>
      <c r="F19" s="269" t="s">
        <v>1123</v>
      </c>
      <c r="G19" s="386" t="s">
        <v>1124</v>
      </c>
      <c r="H19" s="371" t="s">
        <v>1084</v>
      </c>
      <c r="I19" s="171" t="s">
        <v>283</v>
      </c>
      <c r="J19" s="371" t="s">
        <v>26</v>
      </c>
      <c r="K19" s="368">
        <v>54789</v>
      </c>
      <c r="L19" s="425" t="s">
        <v>1125</v>
      </c>
      <c r="M19" s="262"/>
      <c r="N19" s="374">
        <v>450</v>
      </c>
      <c r="O19" s="436">
        <f>Pending[[#This Row],[Power Plant Size (MW) or Share]]*0.593*9057*211.9*10^(-9)</f>
        <v>0.51213272935499998</v>
      </c>
      <c r="P19" s="335">
        <f>Pending[[#This Row],[Annual Emissions (MMTCO2)]]*40</f>
        <v>20.485309174199998</v>
      </c>
      <c r="Q19" s="335"/>
      <c r="R19" s="294"/>
      <c r="S19" s="442"/>
    </row>
    <row r="20" spans="1:134" s="9" customFormat="1" ht="51" customHeight="1">
      <c r="A20" s="269" t="s">
        <v>160</v>
      </c>
      <c r="B20" s="297" t="s">
        <v>87</v>
      </c>
      <c r="C20" s="297" t="s">
        <v>336</v>
      </c>
      <c r="D20" s="495">
        <v>862500000</v>
      </c>
      <c r="E20" s="269" t="s">
        <v>581</v>
      </c>
      <c r="F20" s="269" t="s">
        <v>1634</v>
      </c>
      <c r="G20" s="373"/>
      <c r="H20" s="370" t="s">
        <v>63</v>
      </c>
      <c r="I20" s="171" t="s">
        <v>283</v>
      </c>
      <c r="J20" s="372" t="s">
        <v>26</v>
      </c>
      <c r="K20" s="368">
        <v>54789</v>
      </c>
      <c r="L20" s="422" t="s">
        <v>579</v>
      </c>
      <c r="M20" s="262" t="s">
        <v>580</v>
      </c>
      <c r="N20" s="335">
        <v>1200</v>
      </c>
      <c r="O20" s="436">
        <f>Pending[[#This Row],[Power Plant Size (MW) or Share]]*0.593*9057*211.9*10^(-9)</f>
        <v>1.36568727828</v>
      </c>
      <c r="P20" s="335">
        <f>Pending[[#This Row],[Annual Emissions (MMTCO2)]]*40</f>
        <v>54.627491131200003</v>
      </c>
      <c r="Q20" s="335"/>
      <c r="R20" s="294"/>
      <c r="S20" s="442"/>
    </row>
    <row r="21" spans="1:134" s="9" customFormat="1" ht="51" customHeight="1">
      <c r="A21" s="296" t="s">
        <v>239</v>
      </c>
      <c r="B21" s="353" t="s">
        <v>1061</v>
      </c>
      <c r="C21" s="353" t="s">
        <v>337</v>
      </c>
      <c r="D21" s="495">
        <v>782250000</v>
      </c>
      <c r="E21" s="269" t="s">
        <v>1646</v>
      </c>
      <c r="F21" s="269" t="s">
        <v>1647</v>
      </c>
      <c r="G21" s="262" t="s">
        <v>1648</v>
      </c>
      <c r="H21" s="173" t="s">
        <v>1084</v>
      </c>
      <c r="I21" s="173" t="s">
        <v>283</v>
      </c>
      <c r="J21" s="173" t="s">
        <v>26</v>
      </c>
      <c r="K21" s="378">
        <v>54789</v>
      </c>
      <c r="L21" s="422" t="s">
        <v>1666</v>
      </c>
      <c r="M21" s="262" t="s">
        <v>1649</v>
      </c>
      <c r="N21" s="335">
        <v>600</v>
      </c>
      <c r="O21" s="436">
        <f>Pending[[#This Row],[Power Plant Size (MW) or Share]]*0.593*9057*211.9*10^(-9)</f>
        <v>0.68284363914000001</v>
      </c>
      <c r="P21" s="335">
        <f>Pending[[#This Row],[Annual Emissions (MMTCO2)]]*40</f>
        <v>27.313745565600001</v>
      </c>
      <c r="Q21" s="335"/>
      <c r="R21" s="295"/>
      <c r="S21" s="438" t="s">
        <v>1642</v>
      </c>
    </row>
    <row r="22" spans="1:134" s="9" customFormat="1" ht="51" customHeight="1">
      <c r="A22" s="269" t="s">
        <v>160</v>
      </c>
      <c r="B22" s="297" t="s">
        <v>87</v>
      </c>
      <c r="C22" s="297" t="s">
        <v>336</v>
      </c>
      <c r="D22" s="499">
        <v>650000000</v>
      </c>
      <c r="E22" s="269" t="s">
        <v>573</v>
      </c>
      <c r="F22" s="269" t="s">
        <v>1637</v>
      </c>
      <c r="G22" s="376" t="s">
        <v>572</v>
      </c>
      <c r="H22" s="370" t="s">
        <v>63</v>
      </c>
      <c r="I22" s="171" t="s">
        <v>283</v>
      </c>
      <c r="J22" s="372" t="s">
        <v>26</v>
      </c>
      <c r="K22" s="368">
        <v>54789</v>
      </c>
      <c r="L22" s="422" t="s">
        <v>571</v>
      </c>
      <c r="M22" s="380"/>
      <c r="N22" s="335">
        <v>1320</v>
      </c>
      <c r="O22" s="436">
        <f>Pending[[#This Row],[Power Plant Size (MW) or Share]]*0.593*9057*211.9*10^(-9)</f>
        <v>1.5022560061080001</v>
      </c>
      <c r="P22" s="335">
        <f>Pending[[#This Row],[Annual Emissions (MMTCO2)]]*40</f>
        <v>60.090240244320007</v>
      </c>
      <c r="Q22" s="335"/>
      <c r="R22" s="294"/>
      <c r="S22" s="442"/>
    </row>
    <row r="23" spans="1:134" s="9" customFormat="1" ht="51" customHeight="1">
      <c r="A23" s="269" t="s">
        <v>160</v>
      </c>
      <c r="B23" s="297" t="s">
        <v>87</v>
      </c>
      <c r="C23" s="297" t="s">
        <v>336</v>
      </c>
      <c r="D23" s="499">
        <v>625000000</v>
      </c>
      <c r="E23" s="269" t="s">
        <v>570</v>
      </c>
      <c r="F23" s="269" t="s">
        <v>1638</v>
      </c>
      <c r="G23" s="410" t="s">
        <v>568</v>
      </c>
      <c r="H23" s="370" t="s">
        <v>63</v>
      </c>
      <c r="I23" s="171" t="s">
        <v>283</v>
      </c>
      <c r="J23" s="372" t="s">
        <v>26</v>
      </c>
      <c r="K23" s="368">
        <v>54789</v>
      </c>
      <c r="L23" s="422" t="s">
        <v>569</v>
      </c>
      <c r="M23" s="380"/>
      <c r="N23" s="335">
        <v>1320</v>
      </c>
      <c r="O23" s="436">
        <f>Pending[[#This Row],[Power Plant Size (MW) or Share]]*0.593*9057*211.9*10^(-9)</f>
        <v>1.5022560061080001</v>
      </c>
      <c r="P23" s="335">
        <f>Pending[[#This Row],[Annual Emissions (MMTCO2)]]*40</f>
        <v>60.090240244320007</v>
      </c>
      <c r="Q23" s="335"/>
      <c r="R23" s="294"/>
      <c r="S23" s="442"/>
      <c r="T23" s="19"/>
    </row>
    <row r="24" spans="1:134" s="347" customFormat="1" ht="51" customHeight="1">
      <c r="A24" s="390" t="s">
        <v>239</v>
      </c>
      <c r="B24" s="296" t="s">
        <v>1087</v>
      </c>
      <c r="C24" s="391" t="s">
        <v>336</v>
      </c>
      <c r="D24" s="499">
        <v>600000000</v>
      </c>
      <c r="E24" s="271" t="s">
        <v>1348</v>
      </c>
      <c r="F24" s="296" t="s">
        <v>1621</v>
      </c>
      <c r="G24" s="392" t="s">
        <v>1411</v>
      </c>
      <c r="H24" s="393" t="s">
        <v>1120</v>
      </c>
      <c r="I24" s="171" t="s">
        <v>283</v>
      </c>
      <c r="J24" s="394" t="s">
        <v>26</v>
      </c>
      <c r="K24" s="395">
        <v>54789</v>
      </c>
      <c r="L24" s="423"/>
      <c r="M24" s="392" t="s">
        <v>1355</v>
      </c>
      <c r="N24" s="396">
        <v>300</v>
      </c>
      <c r="O24" s="436">
        <f>Pending[[#This Row],[Power Plant Size (MW) or Share]]*0.593*9057*211.9*10^(-9)</f>
        <v>0.34142181957000001</v>
      </c>
      <c r="P24" s="335">
        <f>Pending[[#This Row],[Annual Emissions (MMTCO2)]]*40</f>
        <v>13.656872782800001</v>
      </c>
      <c r="Q24" s="396"/>
      <c r="R24" s="397"/>
      <c r="S24" s="440"/>
    </row>
    <row r="25" spans="1:134" s="9" customFormat="1" ht="51" customHeight="1">
      <c r="A25" s="269" t="s">
        <v>239</v>
      </c>
      <c r="B25" s="297" t="s">
        <v>1061</v>
      </c>
      <c r="C25" s="297" t="s">
        <v>337</v>
      </c>
      <c r="D25" s="499">
        <v>500000000</v>
      </c>
      <c r="E25" s="375" t="s">
        <v>1139</v>
      </c>
      <c r="F25" s="269" t="s">
        <v>1628</v>
      </c>
      <c r="G25" s="346"/>
      <c r="H25" s="371" t="s">
        <v>85</v>
      </c>
      <c r="I25" s="171" t="s">
        <v>283</v>
      </c>
      <c r="J25" s="371" t="s">
        <v>26</v>
      </c>
      <c r="K25" s="368">
        <v>54789</v>
      </c>
      <c r="L25" s="425"/>
      <c r="M25" s="431" t="s">
        <v>1140</v>
      </c>
      <c r="N25" s="374">
        <v>400</v>
      </c>
      <c r="O25" s="436">
        <f>Pending[[#This Row],[Power Plant Size (MW) or Share]]*0.593*9057*211.9*10^(-9)</f>
        <v>0.45522909276000001</v>
      </c>
      <c r="P25" s="335">
        <f>Pending[[#This Row],[Annual Emissions (MMTCO2)]]*40</f>
        <v>18.209163710399999</v>
      </c>
      <c r="Q25" s="335"/>
      <c r="R25" s="294"/>
      <c r="S25" s="442"/>
      <c r="T25" s="19"/>
    </row>
    <row r="26" spans="1:134" s="2" customFormat="1" ht="28.7">
      <c r="A26" s="269" t="s">
        <v>1309</v>
      </c>
      <c r="B26" s="353" t="s">
        <v>1004</v>
      </c>
      <c r="C26" s="353" t="s">
        <v>336</v>
      </c>
      <c r="D26" s="500">
        <v>401000000</v>
      </c>
      <c r="E26" s="298" t="s">
        <v>1434</v>
      </c>
      <c r="F26" s="298" t="s">
        <v>1629</v>
      </c>
      <c r="G26" s="346"/>
      <c r="H26" s="403" t="s">
        <v>85</v>
      </c>
      <c r="I26" s="180" t="s">
        <v>284</v>
      </c>
      <c r="J26" s="415" t="s">
        <v>1131</v>
      </c>
      <c r="K26" s="378">
        <v>54789</v>
      </c>
      <c r="L26" s="420"/>
      <c r="M26" s="262" t="s">
        <v>1433</v>
      </c>
      <c r="N26" s="335">
        <f>200/2</f>
        <v>100</v>
      </c>
      <c r="O26" s="436">
        <f>Pending[[#This Row],[Power Plant Size (MW) or Share]]*0.593*9057*211.9*10^(-9)</f>
        <v>0.11380727319</v>
      </c>
      <c r="P26" s="335">
        <f>Pending[[#This Row],[Annual Emissions (MMTCO2)]]*40</f>
        <v>4.5522909275999996</v>
      </c>
      <c r="Q26" s="336"/>
      <c r="R26" s="377" t="s">
        <v>1435</v>
      </c>
      <c r="S26" s="444"/>
      <c r="T26" s="201"/>
    </row>
    <row r="27" spans="1:134" s="2" customFormat="1" ht="43">
      <c r="A27" s="269" t="s">
        <v>160</v>
      </c>
      <c r="B27" s="297" t="s">
        <v>87</v>
      </c>
      <c r="C27" s="297" t="s">
        <v>336</v>
      </c>
      <c r="D27" s="499">
        <v>320000000</v>
      </c>
      <c r="E27" s="269" t="s">
        <v>1404</v>
      </c>
      <c r="F27" s="269" t="s">
        <v>1671</v>
      </c>
      <c r="G27" s="346" t="s">
        <v>1672</v>
      </c>
      <c r="H27" s="370" t="s">
        <v>85</v>
      </c>
      <c r="I27" s="171" t="s">
        <v>283</v>
      </c>
      <c r="J27" s="372" t="s">
        <v>248</v>
      </c>
      <c r="K27" s="368">
        <v>54789</v>
      </c>
      <c r="L27" s="422" t="s">
        <v>1402</v>
      </c>
      <c r="M27" s="305" t="s">
        <v>1403</v>
      </c>
      <c r="N27" s="335">
        <v>1000</v>
      </c>
      <c r="O27" s="436">
        <f>Pending[[#This Row],[Power Plant Size (MW) or Share]]*0.593*9057*211.9*10^(-9)</f>
        <v>1.1380727319000001</v>
      </c>
      <c r="P27" s="335">
        <f>Pending[[#This Row],[Annual Emissions (MMTCO2)]]*40</f>
        <v>45.522909276000007</v>
      </c>
      <c r="Q27" s="335"/>
      <c r="R27" s="294" t="s">
        <v>537</v>
      </c>
      <c r="S27" s="442" t="s">
        <v>1406</v>
      </c>
      <c r="T27" s="201"/>
    </row>
    <row r="28" spans="1:134" s="9" customFormat="1" ht="43">
      <c r="A28" s="269" t="s">
        <v>160</v>
      </c>
      <c r="B28" s="297" t="s">
        <v>161</v>
      </c>
      <c r="C28" s="297" t="s">
        <v>336</v>
      </c>
      <c r="D28" s="499">
        <v>320000000</v>
      </c>
      <c r="E28" s="269" t="s">
        <v>1404</v>
      </c>
      <c r="F28" s="269" t="s">
        <v>1671</v>
      </c>
      <c r="G28" s="479" t="s">
        <v>1672</v>
      </c>
      <c r="H28" s="370" t="s">
        <v>85</v>
      </c>
      <c r="I28" s="171" t="s">
        <v>283</v>
      </c>
      <c r="J28" s="372" t="s">
        <v>248</v>
      </c>
      <c r="K28" s="368">
        <v>54789</v>
      </c>
      <c r="L28" s="427" t="s">
        <v>1402</v>
      </c>
      <c r="M28" s="262" t="s">
        <v>1403</v>
      </c>
      <c r="N28" s="335">
        <v>1000</v>
      </c>
      <c r="O28" s="436">
        <f>Pending[[#This Row],[Power Plant Size (MW) or Share]]*0.593*9057*211.9*10^(-9)</f>
        <v>1.1380727319000001</v>
      </c>
      <c r="P28" s="335">
        <f>Pending[[#This Row],[Annual Emissions (MMTCO2)]]*40</f>
        <v>45.522909276000007</v>
      </c>
      <c r="Q28" s="335"/>
      <c r="R28" s="294" t="s">
        <v>537</v>
      </c>
      <c r="S28" s="442"/>
    </row>
    <row r="29" spans="1:134" s="2" customFormat="1" ht="43">
      <c r="A29" s="269" t="s">
        <v>1309</v>
      </c>
      <c r="B29" s="297" t="s">
        <v>1307</v>
      </c>
      <c r="C29" s="353" t="s">
        <v>336</v>
      </c>
      <c r="D29" s="495">
        <v>320000000</v>
      </c>
      <c r="E29" s="269" t="s">
        <v>1404</v>
      </c>
      <c r="F29" s="269" t="s">
        <v>1671</v>
      </c>
      <c r="G29" s="346" t="s">
        <v>1672</v>
      </c>
      <c r="H29" s="370" t="s">
        <v>85</v>
      </c>
      <c r="I29" s="171" t="s">
        <v>283</v>
      </c>
      <c r="J29" s="372" t="s">
        <v>248</v>
      </c>
      <c r="K29" s="378">
        <v>54789</v>
      </c>
      <c r="L29" s="420" t="s">
        <v>1402</v>
      </c>
      <c r="M29" s="262" t="s">
        <v>1403</v>
      </c>
      <c r="N29" s="335">
        <v>1000</v>
      </c>
      <c r="O29" s="436">
        <f>Pending[[#This Row],[Power Plant Size (MW) or Share]]*0.593*9057*211.9*10^(-9)</f>
        <v>1.1380727319000001</v>
      </c>
      <c r="P29" s="335">
        <f>Pending[[#This Row],[Annual Emissions (MMTCO2)]]*40</f>
        <v>45.522909276000007</v>
      </c>
      <c r="Q29" s="335"/>
      <c r="R29" s="294" t="s">
        <v>537</v>
      </c>
      <c r="S29" s="442"/>
    </row>
    <row r="30" spans="1:134" s="9" customFormat="1" ht="43">
      <c r="A30" s="296" t="s">
        <v>239</v>
      </c>
      <c r="B30" s="353" t="s">
        <v>1088</v>
      </c>
      <c r="C30" s="353" t="s">
        <v>336</v>
      </c>
      <c r="D30" s="501">
        <v>319000000</v>
      </c>
      <c r="E30" s="269" t="s">
        <v>1657</v>
      </c>
      <c r="F30" s="269" t="s">
        <v>1651</v>
      </c>
      <c r="G30" s="262" t="s">
        <v>1652</v>
      </c>
      <c r="H30" s="173" t="s">
        <v>1653</v>
      </c>
      <c r="I30" s="173" t="s">
        <v>283</v>
      </c>
      <c r="J30" s="173" t="s">
        <v>248</v>
      </c>
      <c r="K30" s="378">
        <v>54789</v>
      </c>
      <c r="L30" s="422" t="s">
        <v>1665</v>
      </c>
      <c r="M30" s="262" t="s">
        <v>1658</v>
      </c>
      <c r="N30" s="335">
        <v>300</v>
      </c>
      <c r="O30" s="436">
        <f>Pending[[#This Row],[Power Plant Size (MW) or Share]]*0.593*9057*211.9*10^(-9)</f>
        <v>0.34142181957000001</v>
      </c>
      <c r="P30" s="335">
        <f>Pending[[#This Row],[Annual Emissions (MMTCO2)]]*40</f>
        <v>13.656872782800001</v>
      </c>
      <c r="Q30" s="335"/>
      <c r="R30" s="295"/>
      <c r="S30" s="438" t="s">
        <v>1650</v>
      </c>
    </row>
    <row r="31" spans="1:134" s="348" customFormat="1" ht="51" customHeight="1">
      <c r="A31" s="269" t="s">
        <v>1309</v>
      </c>
      <c r="B31" s="380" t="s">
        <v>977</v>
      </c>
      <c r="C31" s="353" t="s">
        <v>336</v>
      </c>
      <c r="D31" s="495">
        <v>300000000</v>
      </c>
      <c r="E31" s="298" t="s">
        <v>1436</v>
      </c>
      <c r="F31" s="269" t="s">
        <v>1676</v>
      </c>
      <c r="G31" s="376" t="s">
        <v>1437</v>
      </c>
      <c r="H31" s="403" t="s">
        <v>63</v>
      </c>
      <c r="I31" s="171" t="s">
        <v>283</v>
      </c>
      <c r="J31" s="394" t="s">
        <v>26</v>
      </c>
      <c r="K31" s="378">
        <v>54789</v>
      </c>
      <c r="L31" s="420"/>
      <c r="M31" s="262" t="s">
        <v>1437</v>
      </c>
      <c r="N31" s="335">
        <f>600/3</f>
        <v>200</v>
      </c>
      <c r="O31" s="436">
        <f>Pending[[#This Row],[Power Plant Size (MW) or Share]]*0.593*9057*211.9*10^(-9)</f>
        <v>0.22761454638</v>
      </c>
      <c r="P31" s="335">
        <f>Pending[[#This Row],[Annual Emissions (MMTCO2)]]*40</f>
        <v>9.1045818551999993</v>
      </c>
      <c r="Q31" s="335"/>
      <c r="R31" s="377"/>
      <c r="S31" s="43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s="148" customFormat="1" ht="51" customHeight="1">
      <c r="A32" s="269" t="s">
        <v>1309</v>
      </c>
      <c r="B32" s="297" t="s">
        <v>1307</v>
      </c>
      <c r="C32" s="297" t="s">
        <v>336</v>
      </c>
      <c r="D32" s="502">
        <f>600000000/2</f>
        <v>300000000</v>
      </c>
      <c r="E32" s="269" t="s">
        <v>574</v>
      </c>
      <c r="F32" s="269" t="s">
        <v>1633</v>
      </c>
      <c r="G32" s="373"/>
      <c r="H32" s="371" t="s">
        <v>431</v>
      </c>
      <c r="I32" s="171" t="s">
        <v>283</v>
      </c>
      <c r="J32" s="371" t="s">
        <v>26</v>
      </c>
      <c r="K32" s="368">
        <v>54789</v>
      </c>
      <c r="L32" s="421"/>
      <c r="M32" s="262" t="s">
        <v>1304</v>
      </c>
      <c r="N32" s="374"/>
      <c r="O32" s="436">
        <f>Pending[[#This Row],[Power Plant Size (MW) or Share]]*0.593*9057*211.9*10^(-9)</f>
        <v>0</v>
      </c>
      <c r="P32" s="335">
        <f>Pending[[#This Row],[Annual Emissions (MMTCO2)]]*40</f>
        <v>0</v>
      </c>
      <c r="Q32" s="335"/>
      <c r="R32" s="294" t="s">
        <v>537</v>
      </c>
      <c r="S32" s="442" t="s">
        <v>537</v>
      </c>
    </row>
    <row r="33" spans="1:20" s="148" customFormat="1" ht="51" customHeight="1">
      <c r="A33" s="269" t="s">
        <v>160</v>
      </c>
      <c r="B33" s="353" t="s">
        <v>511</v>
      </c>
      <c r="C33" s="353" t="s">
        <v>464</v>
      </c>
      <c r="D33" s="499">
        <v>285014805.97912937</v>
      </c>
      <c r="E33" s="269" t="s">
        <v>1315</v>
      </c>
      <c r="F33" s="298" t="s">
        <v>1566</v>
      </c>
      <c r="G33" s="346"/>
      <c r="H33" s="370" t="s">
        <v>575</v>
      </c>
      <c r="I33" s="180" t="s">
        <v>284</v>
      </c>
      <c r="J33" s="372" t="s">
        <v>247</v>
      </c>
      <c r="K33" s="378">
        <v>54789</v>
      </c>
      <c r="L33" s="420" t="s">
        <v>1313</v>
      </c>
      <c r="M33" s="262" t="s">
        <v>1314</v>
      </c>
      <c r="N33" s="335"/>
      <c r="O33" s="436">
        <f>Pending[[#This Row],[Power Plant Size (MW) or Share]]*0.593*9057*211.9*10^(-9)</f>
        <v>0</v>
      </c>
      <c r="P33" s="335">
        <f>Pending[[#This Row],[Annual Emissions (MMTCO2)]]*40</f>
        <v>0</v>
      </c>
      <c r="Q33" s="335"/>
      <c r="R33" s="377"/>
      <c r="S33" s="438"/>
    </row>
    <row r="34" spans="1:20" s="148" customFormat="1" ht="51" customHeight="1">
      <c r="A34" s="296" t="s">
        <v>1309</v>
      </c>
      <c r="B34" s="297" t="s">
        <v>977</v>
      </c>
      <c r="C34" s="297" t="s">
        <v>336</v>
      </c>
      <c r="D34" s="502">
        <v>250000000</v>
      </c>
      <c r="E34" s="375" t="s">
        <v>1424</v>
      </c>
      <c r="F34" s="269" t="s">
        <v>1623</v>
      </c>
      <c r="G34" s="346"/>
      <c r="H34" s="371" t="s">
        <v>575</v>
      </c>
      <c r="I34" s="171" t="s">
        <v>283</v>
      </c>
      <c r="J34" s="371" t="s">
        <v>26</v>
      </c>
      <c r="K34" s="368">
        <v>54789</v>
      </c>
      <c r="L34" s="425" t="s">
        <v>1328</v>
      </c>
      <c r="M34" s="305" t="s">
        <v>1425</v>
      </c>
      <c r="N34" s="374">
        <f>300/2</f>
        <v>150</v>
      </c>
      <c r="O34" s="436">
        <f>Pending[[#This Row],[Power Plant Size (MW) or Share]]*0.593*9057*211.9*10^(-9)</f>
        <v>0.170710909785</v>
      </c>
      <c r="P34" s="335">
        <f>Pending[[#This Row],[Annual Emissions (MMTCO2)]]*40</f>
        <v>6.8284363914000004</v>
      </c>
      <c r="Q34" s="335"/>
      <c r="R34" s="294"/>
      <c r="S34" s="442"/>
    </row>
    <row r="35" spans="1:20" s="148" customFormat="1" ht="51" customHeight="1">
      <c r="A35" s="269" t="s">
        <v>75</v>
      </c>
      <c r="B35" s="297" t="s">
        <v>212</v>
      </c>
      <c r="C35" s="297" t="s">
        <v>337</v>
      </c>
      <c r="D35" s="499">
        <v>232575000</v>
      </c>
      <c r="E35" s="269" t="s">
        <v>35</v>
      </c>
      <c r="F35" s="269" t="s">
        <v>1573</v>
      </c>
      <c r="G35" s="376"/>
      <c r="H35" s="370" t="s">
        <v>85</v>
      </c>
      <c r="I35" s="180" t="s">
        <v>244</v>
      </c>
      <c r="J35" s="372" t="s">
        <v>244</v>
      </c>
      <c r="K35" s="368">
        <v>54789</v>
      </c>
      <c r="L35" s="422" t="s">
        <v>548</v>
      </c>
      <c r="M35" s="269"/>
      <c r="N35" s="335"/>
      <c r="O35" s="436">
        <f>Pending[[#This Row],[Power Plant Size (MW) or Share]]*0.593*9057*211.9*10^(-9)</f>
        <v>0</v>
      </c>
      <c r="P35" s="335">
        <f>Pending[[#This Row],[Annual Emissions (MMTCO2)]]*40</f>
        <v>0</v>
      </c>
      <c r="Q35" s="335"/>
      <c r="R35" s="294"/>
      <c r="S35" s="442"/>
    </row>
    <row r="36" spans="1:20" s="148" customFormat="1" ht="51" customHeight="1">
      <c r="A36" s="269" t="s">
        <v>160</v>
      </c>
      <c r="B36" s="413" t="s">
        <v>256</v>
      </c>
      <c r="C36" s="353" t="s">
        <v>337</v>
      </c>
      <c r="D36" s="499">
        <v>232187815</v>
      </c>
      <c r="E36" s="269" t="s">
        <v>558</v>
      </c>
      <c r="F36" s="298" t="s">
        <v>1577</v>
      </c>
      <c r="G36" s="346"/>
      <c r="H36" s="370" t="s">
        <v>575</v>
      </c>
      <c r="I36" s="180" t="s">
        <v>40</v>
      </c>
      <c r="J36" s="372" t="s">
        <v>278</v>
      </c>
      <c r="K36" s="378">
        <v>54789</v>
      </c>
      <c r="L36" s="420" t="s">
        <v>849</v>
      </c>
      <c r="M36" s="262" t="s">
        <v>1423</v>
      </c>
      <c r="N36" s="335"/>
      <c r="O36" s="436">
        <f>Pending[[#This Row],[Power Plant Size (MW) or Share]]*0.593*9057*211.9*10^(-9)</f>
        <v>0</v>
      </c>
      <c r="P36" s="335">
        <f>Pending[[#This Row],[Annual Emissions (MMTCO2)]]*40</f>
        <v>0</v>
      </c>
      <c r="Q36" s="335">
        <v>3</v>
      </c>
      <c r="R36" s="377"/>
      <c r="S36" s="438"/>
    </row>
    <row r="37" spans="1:20" s="148" customFormat="1" ht="51" customHeight="1">
      <c r="A37" s="269" t="s">
        <v>75</v>
      </c>
      <c r="B37" s="353" t="s">
        <v>511</v>
      </c>
      <c r="C37" s="353" t="s">
        <v>464</v>
      </c>
      <c r="D37" s="499">
        <v>226049248.82890725</v>
      </c>
      <c r="E37" s="269" t="s">
        <v>1315</v>
      </c>
      <c r="F37" s="298" t="s">
        <v>1566</v>
      </c>
      <c r="G37" s="376" t="s">
        <v>1314</v>
      </c>
      <c r="H37" s="370" t="s">
        <v>575</v>
      </c>
      <c r="I37" s="180" t="s">
        <v>284</v>
      </c>
      <c r="J37" s="372" t="s">
        <v>247</v>
      </c>
      <c r="K37" s="378">
        <v>54789</v>
      </c>
      <c r="L37" s="420" t="s">
        <v>1313</v>
      </c>
      <c r="M37" s="273"/>
      <c r="N37" s="335"/>
      <c r="O37" s="436">
        <f>Pending[[#This Row],[Power Plant Size (MW) or Share]]*0.593*9057*211.9*10^(-9)</f>
        <v>0</v>
      </c>
      <c r="P37" s="335">
        <f>Pending[[#This Row],[Annual Emissions (MMTCO2)]]*40</f>
        <v>0</v>
      </c>
      <c r="Q37" s="335"/>
      <c r="R37" s="377"/>
      <c r="S37" s="438"/>
    </row>
    <row r="38" spans="1:20" s="148" customFormat="1" ht="51" customHeight="1">
      <c r="A38" s="269" t="s">
        <v>160</v>
      </c>
      <c r="B38" s="297" t="s">
        <v>87</v>
      </c>
      <c r="C38" s="297" t="s">
        <v>336</v>
      </c>
      <c r="D38" s="499">
        <v>225000000</v>
      </c>
      <c r="E38" s="269" t="s">
        <v>558</v>
      </c>
      <c r="F38" s="298" t="s">
        <v>1577</v>
      </c>
      <c r="G38" s="346"/>
      <c r="H38" s="370" t="s">
        <v>575</v>
      </c>
      <c r="I38" s="180" t="s">
        <v>284</v>
      </c>
      <c r="J38" s="372" t="s">
        <v>576</v>
      </c>
      <c r="K38" s="368">
        <v>54789</v>
      </c>
      <c r="L38" s="422" t="s">
        <v>577</v>
      </c>
      <c r="M38" s="429"/>
      <c r="N38" s="335"/>
      <c r="O38" s="436">
        <f>Pending[[#This Row],[Power Plant Size (MW) or Share]]*0.593*9057*211.9*10^(-9)</f>
        <v>0</v>
      </c>
      <c r="P38" s="335">
        <f>Pending[[#This Row],[Annual Emissions (MMTCO2)]]*40</f>
        <v>0</v>
      </c>
      <c r="Q38" s="335"/>
      <c r="R38" s="294" t="s">
        <v>537</v>
      </c>
      <c r="S38" s="442" t="s">
        <v>537</v>
      </c>
    </row>
    <row r="39" spans="1:20" s="148" customFormat="1" ht="51" customHeight="1">
      <c r="A39" s="269" t="s">
        <v>160</v>
      </c>
      <c r="B39" s="297" t="s">
        <v>161</v>
      </c>
      <c r="C39" s="297" t="s">
        <v>336</v>
      </c>
      <c r="D39" s="499">
        <v>225000000</v>
      </c>
      <c r="E39" s="269" t="s">
        <v>558</v>
      </c>
      <c r="F39" s="298" t="s">
        <v>1577</v>
      </c>
      <c r="G39" s="346"/>
      <c r="H39" s="370" t="s">
        <v>575</v>
      </c>
      <c r="I39" s="180" t="s">
        <v>284</v>
      </c>
      <c r="J39" s="372" t="s">
        <v>576</v>
      </c>
      <c r="K39" s="368">
        <v>54789</v>
      </c>
      <c r="L39" s="422" t="s">
        <v>578</v>
      </c>
      <c r="M39" s="429"/>
      <c r="N39" s="335"/>
      <c r="O39" s="436">
        <f>Pending[[#This Row],[Power Plant Size (MW) or Share]]*0.593*9057*211.9*10^(-9)</f>
        <v>0</v>
      </c>
      <c r="P39" s="335">
        <f>Pending[[#This Row],[Annual Emissions (MMTCO2)]]*40</f>
        <v>0</v>
      </c>
      <c r="Q39" s="335"/>
      <c r="R39" s="294" t="s">
        <v>537</v>
      </c>
      <c r="S39" s="442" t="s">
        <v>537</v>
      </c>
    </row>
    <row r="40" spans="1:20" s="148" customFormat="1" ht="51" customHeight="1">
      <c r="A40" s="269" t="s">
        <v>75</v>
      </c>
      <c r="B40" s="297" t="s">
        <v>209</v>
      </c>
      <c r="C40" s="297" t="s">
        <v>337</v>
      </c>
      <c r="D40" s="499">
        <f>200000000/0.937</f>
        <v>213447171.82497332</v>
      </c>
      <c r="E40" s="269"/>
      <c r="F40" s="269" t="s">
        <v>1593</v>
      </c>
      <c r="G40" s="408" t="s">
        <v>954</v>
      </c>
      <c r="H40" s="370" t="s">
        <v>70</v>
      </c>
      <c r="I40" s="171" t="s">
        <v>283</v>
      </c>
      <c r="J40" s="372" t="s">
        <v>26</v>
      </c>
      <c r="K40" s="368">
        <v>54789</v>
      </c>
      <c r="L40" s="422" t="s">
        <v>371</v>
      </c>
      <c r="M40" s="262"/>
      <c r="N40" s="335">
        <v>660</v>
      </c>
      <c r="O40" s="436">
        <f>Pending[[#This Row],[Power Plant Size (MW) or Share]]*0.593*9057*211.9*10^(-9)</f>
        <v>0.75112800305400007</v>
      </c>
      <c r="P40" s="335">
        <f>Pending[[#This Row],[Annual Emissions (MMTCO2)]]*40</f>
        <v>30.045120122160004</v>
      </c>
      <c r="Q40" s="335"/>
      <c r="R40" s="294"/>
      <c r="S40" s="442"/>
      <c r="T40" s="19"/>
    </row>
    <row r="41" spans="1:20" s="148" customFormat="1" ht="51" customHeight="1">
      <c r="A41" s="269" t="s">
        <v>33</v>
      </c>
      <c r="B41" s="353" t="s">
        <v>511</v>
      </c>
      <c r="C41" s="353" t="s">
        <v>464</v>
      </c>
      <c r="D41" s="499">
        <v>212208317.9246456</v>
      </c>
      <c r="E41" s="269" t="s">
        <v>1315</v>
      </c>
      <c r="F41" s="298" t="s">
        <v>1566</v>
      </c>
      <c r="G41" s="376" t="s">
        <v>1314</v>
      </c>
      <c r="H41" s="370" t="s">
        <v>575</v>
      </c>
      <c r="I41" s="180" t="s">
        <v>284</v>
      </c>
      <c r="J41" s="372" t="s">
        <v>247</v>
      </c>
      <c r="K41" s="378">
        <v>54789</v>
      </c>
      <c r="L41" s="420" t="s">
        <v>1313</v>
      </c>
      <c r="M41" s="273"/>
      <c r="N41" s="335"/>
      <c r="O41" s="436">
        <f>Pending[[#This Row],[Power Plant Size (MW) or Share]]*0.593*9057*211.9*10^(-9)</f>
        <v>0</v>
      </c>
      <c r="P41" s="335">
        <f>Pending[[#This Row],[Annual Emissions (MMTCO2)]]*40</f>
        <v>0</v>
      </c>
      <c r="Q41" s="335"/>
      <c r="R41" s="377"/>
      <c r="S41" s="438"/>
      <c r="T41" s="19"/>
    </row>
    <row r="42" spans="1:20" s="148" customFormat="1" ht="51" customHeight="1">
      <c r="A42" s="269" t="s">
        <v>190</v>
      </c>
      <c r="B42" s="353" t="s">
        <v>511</v>
      </c>
      <c r="C42" s="353" t="s">
        <v>464</v>
      </c>
      <c r="D42" s="495">
        <v>212208317.9246456</v>
      </c>
      <c r="E42" s="269" t="s">
        <v>1315</v>
      </c>
      <c r="F42" s="298" t="s">
        <v>1566</v>
      </c>
      <c r="G42" s="376" t="s">
        <v>1314</v>
      </c>
      <c r="H42" s="370" t="s">
        <v>575</v>
      </c>
      <c r="I42" s="180" t="s">
        <v>284</v>
      </c>
      <c r="J42" s="372" t="s">
        <v>247</v>
      </c>
      <c r="K42" s="378">
        <v>54789</v>
      </c>
      <c r="L42" s="420" t="s">
        <v>1313</v>
      </c>
      <c r="M42" s="273"/>
      <c r="N42" s="335"/>
      <c r="O42" s="436">
        <f>Pending[[#This Row],[Power Plant Size (MW) or Share]]*0.593*9057*211.9*10^(-9)</f>
        <v>0</v>
      </c>
      <c r="P42" s="335">
        <f>Pending[[#This Row],[Annual Emissions (MMTCO2)]]*40</f>
        <v>0</v>
      </c>
      <c r="Q42" s="335"/>
      <c r="R42" s="377"/>
      <c r="S42" s="438"/>
    </row>
    <row r="43" spans="1:20" s="148" customFormat="1" ht="51" customHeight="1">
      <c r="A43" s="269" t="s">
        <v>75</v>
      </c>
      <c r="B43" s="297" t="s">
        <v>34</v>
      </c>
      <c r="C43" s="297" t="s">
        <v>336</v>
      </c>
      <c r="D43" s="499">
        <f>197000000/0.937</f>
        <v>210245464.24759871</v>
      </c>
      <c r="E43" s="269"/>
      <c r="F43" s="269" t="s">
        <v>1582</v>
      </c>
      <c r="G43" s="373"/>
      <c r="H43" s="370" t="s">
        <v>39</v>
      </c>
      <c r="I43" s="171" t="s">
        <v>283</v>
      </c>
      <c r="J43" s="372" t="s">
        <v>283</v>
      </c>
      <c r="K43" s="368">
        <v>54789</v>
      </c>
      <c r="L43" s="422" t="s">
        <v>375</v>
      </c>
      <c r="M43" s="262"/>
      <c r="N43" s="335"/>
      <c r="O43" s="436">
        <f>Pending[[#This Row],[Power Plant Size (MW) or Share]]*0.593*9057*211.9*10^(-9)</f>
        <v>0</v>
      </c>
      <c r="P43" s="335">
        <f>Pending[[#This Row],[Annual Emissions (MMTCO2)]]*40</f>
        <v>0</v>
      </c>
      <c r="Q43" s="335"/>
      <c r="R43" s="294"/>
      <c r="S43" s="442"/>
      <c r="T43" s="138"/>
    </row>
    <row r="44" spans="1:20" s="2" customFormat="1" ht="51" customHeight="1">
      <c r="A44" s="269" t="s">
        <v>160</v>
      </c>
      <c r="B44" s="297" t="s">
        <v>87</v>
      </c>
      <c r="C44" s="297" t="s">
        <v>336</v>
      </c>
      <c r="D44" s="499">
        <v>200000000</v>
      </c>
      <c r="E44" s="269" t="s">
        <v>574</v>
      </c>
      <c r="F44" s="269" t="s">
        <v>1633</v>
      </c>
      <c r="G44" s="349"/>
      <c r="H44" s="370" t="s">
        <v>431</v>
      </c>
      <c r="I44" s="171" t="s">
        <v>283</v>
      </c>
      <c r="J44" s="372" t="s">
        <v>26</v>
      </c>
      <c r="K44" s="368">
        <v>54789</v>
      </c>
      <c r="L44" s="422" t="s">
        <v>1744</v>
      </c>
      <c r="M44" s="380"/>
      <c r="N44" s="335">
        <v>150</v>
      </c>
      <c r="O44" s="436">
        <f>Pending[[#This Row],[Power Plant Size (MW) or Share]]*0.593*9057*211.9*10^(-9)</f>
        <v>0.170710909785</v>
      </c>
      <c r="P44" s="335">
        <f>Pending[[#This Row],[Annual Emissions (MMTCO2)]]*40</f>
        <v>6.8284363914000004</v>
      </c>
      <c r="Q44" s="335"/>
      <c r="R44" s="294" t="s">
        <v>537</v>
      </c>
      <c r="S44" s="442" t="s">
        <v>537</v>
      </c>
    </row>
    <row r="45" spans="1:20" s="148" customFormat="1" ht="51" customHeight="1">
      <c r="A45" s="269" t="s">
        <v>160</v>
      </c>
      <c r="B45" s="297" t="s">
        <v>161</v>
      </c>
      <c r="C45" s="297" t="s">
        <v>336</v>
      </c>
      <c r="D45" s="499">
        <v>200000000</v>
      </c>
      <c r="E45" s="269" t="s">
        <v>574</v>
      </c>
      <c r="F45" s="269" t="s">
        <v>1633</v>
      </c>
      <c r="G45" s="349"/>
      <c r="H45" s="370" t="s">
        <v>431</v>
      </c>
      <c r="I45" s="171" t="s">
        <v>283</v>
      </c>
      <c r="J45" s="372" t="s">
        <v>26</v>
      </c>
      <c r="K45" s="368">
        <v>54789</v>
      </c>
      <c r="L45" s="422" t="s">
        <v>1744</v>
      </c>
      <c r="M45" s="429"/>
      <c r="N45" s="335">
        <v>150</v>
      </c>
      <c r="O45" s="436">
        <f>Pending[[#This Row],[Power Plant Size (MW) or Share]]*0.593*9057*211.9*10^(-9)</f>
        <v>0.170710909785</v>
      </c>
      <c r="P45" s="335">
        <f>Pending[[#This Row],[Annual Emissions (MMTCO2)]]*40</f>
        <v>6.8284363914000004</v>
      </c>
      <c r="Q45" s="335"/>
      <c r="R45" s="293" t="s">
        <v>537</v>
      </c>
      <c r="S45" s="445" t="s">
        <v>537</v>
      </c>
    </row>
    <row r="46" spans="1:20" s="148" customFormat="1" ht="51" customHeight="1">
      <c r="A46" s="269" t="s">
        <v>65</v>
      </c>
      <c r="B46" s="353" t="s">
        <v>511</v>
      </c>
      <c r="C46" s="353" t="s">
        <v>464</v>
      </c>
      <c r="D46" s="499">
        <v>180524808.53934211</v>
      </c>
      <c r="E46" s="269" t="s">
        <v>1315</v>
      </c>
      <c r="F46" s="298" t="s">
        <v>1566</v>
      </c>
      <c r="G46" s="376" t="s">
        <v>1314</v>
      </c>
      <c r="H46" s="370" t="s">
        <v>575</v>
      </c>
      <c r="I46" s="180" t="s">
        <v>284</v>
      </c>
      <c r="J46" s="372" t="s">
        <v>247</v>
      </c>
      <c r="K46" s="378">
        <v>54789</v>
      </c>
      <c r="L46" s="420" t="s">
        <v>1313</v>
      </c>
      <c r="M46" s="273"/>
      <c r="N46" s="335"/>
      <c r="O46" s="436">
        <f>Pending[[#This Row],[Power Plant Size (MW) or Share]]*0.593*9057*211.9*10^(-9)</f>
        <v>0</v>
      </c>
      <c r="P46" s="335">
        <f>Pending[[#This Row],[Annual Emissions (MMTCO2)]]*40</f>
        <v>0</v>
      </c>
      <c r="Q46" s="335"/>
      <c r="R46" s="377"/>
      <c r="S46" s="438"/>
    </row>
    <row r="47" spans="1:20" s="17" customFormat="1" ht="51" customHeight="1">
      <c r="A47" s="269" t="s">
        <v>45</v>
      </c>
      <c r="B47" s="353" t="s">
        <v>511</v>
      </c>
      <c r="C47" s="353" t="s">
        <v>464</v>
      </c>
      <c r="D47" s="499">
        <v>180359972.92487353</v>
      </c>
      <c r="E47" s="269" t="s">
        <v>1315</v>
      </c>
      <c r="F47" s="298" t="s">
        <v>1566</v>
      </c>
      <c r="G47" s="346"/>
      <c r="H47" s="370" t="s">
        <v>575</v>
      </c>
      <c r="I47" s="180" t="s">
        <v>284</v>
      </c>
      <c r="J47" s="372" t="s">
        <v>247</v>
      </c>
      <c r="K47" s="378">
        <v>54789</v>
      </c>
      <c r="L47" s="420" t="s">
        <v>1313</v>
      </c>
      <c r="M47" s="262" t="s">
        <v>1314</v>
      </c>
      <c r="N47" s="335"/>
      <c r="O47" s="436">
        <f>Pending[[#This Row],[Power Plant Size (MW) or Share]]*0.593*9057*211.9*10^(-9)</f>
        <v>0</v>
      </c>
      <c r="P47" s="335">
        <f>Pending[[#This Row],[Annual Emissions (MMTCO2)]]*40</f>
        <v>0</v>
      </c>
      <c r="Q47" s="335"/>
      <c r="R47" s="377"/>
      <c r="S47" s="438"/>
    </row>
    <row r="48" spans="1:20" s="17" customFormat="1" ht="51" customHeight="1">
      <c r="A48" s="269" t="s">
        <v>160</v>
      </c>
      <c r="B48" s="297" t="s">
        <v>87</v>
      </c>
      <c r="C48" s="297" t="s">
        <v>336</v>
      </c>
      <c r="D48" s="499">
        <v>169000000</v>
      </c>
      <c r="E48" s="269" t="s">
        <v>1436</v>
      </c>
      <c r="F48" s="269" t="s">
        <v>1676</v>
      </c>
      <c r="G48" s="346" t="s">
        <v>1677</v>
      </c>
      <c r="H48" s="370" t="s">
        <v>63</v>
      </c>
      <c r="I48" s="171" t="s">
        <v>283</v>
      </c>
      <c r="J48" s="372" t="s">
        <v>26</v>
      </c>
      <c r="K48" s="368">
        <v>54789</v>
      </c>
      <c r="L48" s="427"/>
      <c r="M48" s="262" t="s">
        <v>1437</v>
      </c>
      <c r="N48" s="335">
        <f>600/3</f>
        <v>200</v>
      </c>
      <c r="O48" s="436">
        <f>Pending[[#This Row],[Power Plant Size (MW) or Share]]*0.593*9057*211.9*10^(-9)</f>
        <v>0.22761454638</v>
      </c>
      <c r="P48" s="335">
        <f>Pending[[#This Row],[Annual Emissions (MMTCO2)]]*40</f>
        <v>9.1045818551999993</v>
      </c>
      <c r="Q48" s="335"/>
      <c r="R48" s="377"/>
      <c r="S48" s="438"/>
    </row>
    <row r="49" spans="1:19" s="17" customFormat="1" ht="51" customHeight="1">
      <c r="A49" s="269" t="s">
        <v>20</v>
      </c>
      <c r="B49" s="353" t="s">
        <v>511</v>
      </c>
      <c r="C49" s="353" t="s">
        <v>464</v>
      </c>
      <c r="D49" s="499">
        <v>142638920.76706621</v>
      </c>
      <c r="E49" s="269" t="s">
        <v>1315</v>
      </c>
      <c r="F49" s="298" t="s">
        <v>1566</v>
      </c>
      <c r="G49" s="376" t="s">
        <v>1314</v>
      </c>
      <c r="H49" s="370" t="s">
        <v>575</v>
      </c>
      <c r="I49" s="180" t="s">
        <v>284</v>
      </c>
      <c r="J49" s="372" t="s">
        <v>247</v>
      </c>
      <c r="K49" s="378">
        <v>54789</v>
      </c>
      <c r="L49" s="420" t="s">
        <v>1313</v>
      </c>
      <c r="M49" s="273"/>
      <c r="N49" s="335"/>
      <c r="O49" s="436">
        <f>Pending[[#This Row],[Power Plant Size (MW) or Share]]*0.593*9057*211.9*10^(-9)</f>
        <v>0</v>
      </c>
      <c r="P49" s="335">
        <f>Pending[[#This Row],[Annual Emissions (MMTCO2)]]*40</f>
        <v>0</v>
      </c>
      <c r="Q49" s="335"/>
      <c r="R49" s="377"/>
      <c r="S49" s="438"/>
    </row>
    <row r="50" spans="1:19" s="17" customFormat="1" ht="51" customHeight="1">
      <c r="A50" s="269" t="s">
        <v>86</v>
      </c>
      <c r="B50" s="353" t="s">
        <v>511</v>
      </c>
      <c r="C50" s="353" t="s">
        <v>464</v>
      </c>
      <c r="D50" s="499">
        <v>142638920.76706621</v>
      </c>
      <c r="E50" s="269" t="s">
        <v>1315</v>
      </c>
      <c r="F50" s="298" t="s">
        <v>1566</v>
      </c>
      <c r="G50" s="376" t="s">
        <v>1314</v>
      </c>
      <c r="H50" s="370" t="s">
        <v>575</v>
      </c>
      <c r="I50" s="180" t="s">
        <v>284</v>
      </c>
      <c r="J50" s="372" t="s">
        <v>247</v>
      </c>
      <c r="K50" s="378">
        <v>54789</v>
      </c>
      <c r="L50" s="420" t="s">
        <v>1313</v>
      </c>
      <c r="M50" s="273"/>
      <c r="N50" s="335"/>
      <c r="O50" s="436">
        <f>Pending[[#This Row],[Power Plant Size (MW) or Share]]*0.593*9057*211.9*10^(-9)</f>
        <v>0</v>
      </c>
      <c r="P50" s="335">
        <f>Pending[[#This Row],[Annual Emissions (MMTCO2)]]*40</f>
        <v>0</v>
      </c>
      <c r="Q50" s="335"/>
      <c r="R50" s="377"/>
      <c r="S50" s="438"/>
    </row>
    <row r="51" spans="1:19" s="17" customFormat="1" ht="51" customHeight="1">
      <c r="A51" s="269" t="s">
        <v>239</v>
      </c>
      <c r="B51" s="353" t="s">
        <v>511</v>
      </c>
      <c r="C51" s="353" t="s">
        <v>464</v>
      </c>
      <c r="D51" s="499">
        <v>108293491.56513169</v>
      </c>
      <c r="E51" s="269" t="s">
        <v>1315</v>
      </c>
      <c r="F51" s="298" t="s">
        <v>1566</v>
      </c>
      <c r="G51" s="376" t="s">
        <v>1314</v>
      </c>
      <c r="H51" s="370" t="s">
        <v>575</v>
      </c>
      <c r="I51" s="180" t="s">
        <v>284</v>
      </c>
      <c r="J51" s="372" t="s">
        <v>247</v>
      </c>
      <c r="K51" s="378">
        <v>54789</v>
      </c>
      <c r="L51" s="420" t="s">
        <v>1313</v>
      </c>
      <c r="M51" s="273"/>
      <c r="N51" s="335"/>
      <c r="O51" s="436">
        <f>Pending[[#This Row],[Power Plant Size (MW) or Share]]*0.593*9057*211.9*10^(-9)</f>
        <v>0</v>
      </c>
      <c r="P51" s="335">
        <f>Pending[[#This Row],[Annual Emissions (MMTCO2)]]*40</f>
        <v>0</v>
      </c>
      <c r="Q51" s="335"/>
      <c r="R51" s="377"/>
      <c r="S51" s="438"/>
    </row>
    <row r="52" spans="1:19" s="17" customFormat="1" ht="51" customHeight="1">
      <c r="A52" s="269" t="s">
        <v>1308</v>
      </c>
      <c r="B52" s="353" t="s">
        <v>511</v>
      </c>
      <c r="C52" s="353" t="s">
        <v>464</v>
      </c>
      <c r="D52" s="499">
        <v>97472208.832305297</v>
      </c>
      <c r="E52" s="269" t="s">
        <v>1315</v>
      </c>
      <c r="F52" s="298" t="s">
        <v>1566</v>
      </c>
      <c r="G52" s="376" t="s">
        <v>1314</v>
      </c>
      <c r="H52" s="370" t="s">
        <v>575</v>
      </c>
      <c r="I52" s="180" t="s">
        <v>284</v>
      </c>
      <c r="J52" s="372" t="s">
        <v>247</v>
      </c>
      <c r="K52" s="378">
        <v>54789</v>
      </c>
      <c r="L52" s="420" t="s">
        <v>1313</v>
      </c>
      <c r="M52" s="273"/>
      <c r="N52" s="335"/>
      <c r="O52" s="436">
        <f>Pending[[#This Row],[Power Plant Size (MW) or Share]]*0.593*9057*211.9*10^(-9)</f>
        <v>0</v>
      </c>
      <c r="P52" s="335">
        <f>Pending[[#This Row],[Annual Emissions (MMTCO2)]]*40</f>
        <v>0</v>
      </c>
      <c r="Q52" s="335"/>
      <c r="R52" s="377"/>
      <c r="S52" s="438"/>
    </row>
    <row r="53" spans="1:19" s="17" customFormat="1" ht="51" customHeight="1">
      <c r="A53" s="269" t="s">
        <v>1253</v>
      </c>
      <c r="B53" s="353" t="s">
        <v>511</v>
      </c>
      <c r="C53" s="353" t="s">
        <v>464</v>
      </c>
      <c r="D53" s="499">
        <v>89498724.374978811</v>
      </c>
      <c r="E53" s="269" t="s">
        <v>1315</v>
      </c>
      <c r="F53" s="298" t="s">
        <v>1566</v>
      </c>
      <c r="G53" s="346"/>
      <c r="H53" s="370" t="s">
        <v>575</v>
      </c>
      <c r="I53" s="180" t="s">
        <v>284</v>
      </c>
      <c r="J53" s="372" t="s">
        <v>247</v>
      </c>
      <c r="K53" s="378">
        <v>54789</v>
      </c>
      <c r="L53" s="420" t="s">
        <v>1313</v>
      </c>
      <c r="M53" s="262" t="s">
        <v>1314</v>
      </c>
      <c r="N53" s="335"/>
      <c r="O53" s="436">
        <f>Pending[[#This Row],[Power Plant Size (MW) or Share]]*0.593*9057*211.9*10^(-9)</f>
        <v>0</v>
      </c>
      <c r="P53" s="335">
        <f>Pending[[#This Row],[Annual Emissions (MMTCO2)]]*40</f>
        <v>0</v>
      </c>
      <c r="Q53" s="335"/>
      <c r="R53" s="377"/>
      <c r="S53" s="438"/>
    </row>
    <row r="54" spans="1:19" s="17" customFormat="1" ht="51" customHeight="1">
      <c r="A54" s="298" t="s">
        <v>65</v>
      </c>
      <c r="B54" s="353" t="s">
        <v>1470</v>
      </c>
      <c r="C54" s="353" t="s">
        <v>336</v>
      </c>
      <c r="D54" s="499">
        <v>87000000</v>
      </c>
      <c r="E54" s="298" t="s">
        <v>1474</v>
      </c>
      <c r="F54" s="298" t="s">
        <v>1579</v>
      </c>
      <c r="G54" s="402" t="s">
        <v>1475</v>
      </c>
      <c r="H54" s="403" t="s">
        <v>1285</v>
      </c>
      <c r="I54" s="171" t="s">
        <v>283</v>
      </c>
      <c r="J54" s="394" t="s">
        <v>1476</v>
      </c>
      <c r="K54" s="378">
        <v>54789</v>
      </c>
      <c r="L54" s="420" t="s">
        <v>1477</v>
      </c>
      <c r="M54" s="267"/>
      <c r="N54" s="336">
        <v>80</v>
      </c>
      <c r="O54" s="436">
        <f>Pending[[#This Row],[Power Plant Size (MW) or Share]]*0.593*9057*211.9*10^(-9)</f>
        <v>9.1045818551999988E-2</v>
      </c>
      <c r="P54" s="335">
        <f>Pending[[#This Row],[Annual Emissions (MMTCO2)]]*40</f>
        <v>3.6418327420799996</v>
      </c>
      <c r="Q54" s="336"/>
      <c r="R54" s="404"/>
      <c r="S54" s="444"/>
    </row>
    <row r="55" spans="1:19" s="17" customFormat="1" ht="51" customHeight="1">
      <c r="A55" s="269" t="s">
        <v>11</v>
      </c>
      <c r="B55" s="353" t="s">
        <v>511</v>
      </c>
      <c r="C55" s="353" t="s">
        <v>464</v>
      </c>
      <c r="D55" s="495">
        <v>82994731.884936169</v>
      </c>
      <c r="E55" s="269" t="s">
        <v>1315</v>
      </c>
      <c r="F55" s="298" t="s">
        <v>1566</v>
      </c>
      <c r="G55" s="376" t="s">
        <v>1314</v>
      </c>
      <c r="H55" s="370" t="s">
        <v>575</v>
      </c>
      <c r="I55" s="180" t="s">
        <v>284</v>
      </c>
      <c r="J55" s="372" t="s">
        <v>247</v>
      </c>
      <c r="K55" s="368">
        <v>54789</v>
      </c>
      <c r="L55" s="420" t="s">
        <v>1313</v>
      </c>
      <c r="M55" s="273"/>
      <c r="N55" s="335"/>
      <c r="O55" s="436">
        <f>Pending[[#This Row],[Power Plant Size (MW) or Share]]*0.593*9057*211.9*10^(-9)</f>
        <v>0</v>
      </c>
      <c r="P55" s="335">
        <f>Pending[[#This Row],[Annual Emissions (MMTCO2)]]*40</f>
        <v>0</v>
      </c>
      <c r="Q55" s="335"/>
      <c r="R55" s="377"/>
      <c r="S55" s="438"/>
    </row>
    <row r="56" spans="1:19" s="17" customFormat="1" ht="51" customHeight="1">
      <c r="A56" s="269" t="s">
        <v>75</v>
      </c>
      <c r="B56" s="297" t="s">
        <v>34</v>
      </c>
      <c r="C56" s="297" t="s">
        <v>336</v>
      </c>
      <c r="D56" s="499">
        <f>76000000/0.937</f>
        <v>81109925.293489859</v>
      </c>
      <c r="E56" s="269"/>
      <c r="F56" s="269" t="s">
        <v>1581</v>
      </c>
      <c r="G56" s="373"/>
      <c r="H56" s="370" t="s">
        <v>45</v>
      </c>
      <c r="I56" s="180" t="s">
        <v>40</v>
      </c>
      <c r="J56" s="372" t="s">
        <v>40</v>
      </c>
      <c r="K56" s="368">
        <v>54789</v>
      </c>
      <c r="L56" s="422" t="s">
        <v>379</v>
      </c>
      <c r="M56" s="262"/>
      <c r="N56" s="335"/>
      <c r="O56" s="436">
        <f>Pending[[#This Row],[Power Plant Size (MW) or Share]]*0.593*9057*211.9*10^(-9)</f>
        <v>0</v>
      </c>
      <c r="P56" s="335">
        <f>Pending[[#This Row],[Annual Emissions (MMTCO2)]]*40</f>
        <v>0</v>
      </c>
      <c r="Q56" s="335"/>
      <c r="R56" s="294"/>
      <c r="S56" s="442"/>
    </row>
    <row r="57" spans="1:19" s="17" customFormat="1" ht="51" customHeight="1">
      <c r="A57" s="269" t="s">
        <v>75</v>
      </c>
      <c r="B57" s="297" t="s">
        <v>212</v>
      </c>
      <c r="C57" s="297" t="s">
        <v>337</v>
      </c>
      <c r="D57" s="499">
        <v>75753000</v>
      </c>
      <c r="E57" s="269" t="s">
        <v>35</v>
      </c>
      <c r="F57" s="269" t="s">
        <v>1570</v>
      </c>
      <c r="G57" s="373"/>
      <c r="H57" s="370" t="s">
        <v>217</v>
      </c>
      <c r="I57" s="180" t="s">
        <v>284</v>
      </c>
      <c r="J57" s="372" t="s">
        <v>240</v>
      </c>
      <c r="K57" s="368">
        <v>54789</v>
      </c>
      <c r="L57" s="422" t="s">
        <v>279</v>
      </c>
      <c r="M57" s="262"/>
      <c r="N57" s="335"/>
      <c r="O57" s="436">
        <f>Pending[[#This Row],[Power Plant Size (MW) or Share]]*0.593*9057*211.9*10^(-9)</f>
        <v>0</v>
      </c>
      <c r="P57" s="335">
        <f>Pending[[#This Row],[Annual Emissions (MMTCO2)]]*40</f>
        <v>0</v>
      </c>
      <c r="Q57" s="335"/>
      <c r="R57" s="294"/>
      <c r="S57" s="442"/>
    </row>
    <row r="58" spans="1:19" s="17" customFormat="1" ht="51" customHeight="1">
      <c r="A58" s="269" t="s">
        <v>1149</v>
      </c>
      <c r="B58" s="353" t="s">
        <v>511</v>
      </c>
      <c r="C58" s="353" t="s">
        <v>464</v>
      </c>
      <c r="D58" s="495">
        <v>74360151.399368644</v>
      </c>
      <c r="E58" s="269" t="s">
        <v>1315</v>
      </c>
      <c r="F58" s="298" t="s">
        <v>1566</v>
      </c>
      <c r="G58" s="376" t="s">
        <v>1314</v>
      </c>
      <c r="H58" s="370" t="s">
        <v>575</v>
      </c>
      <c r="I58" s="180" t="s">
        <v>284</v>
      </c>
      <c r="J58" s="372" t="s">
        <v>247</v>
      </c>
      <c r="K58" s="368">
        <v>54789</v>
      </c>
      <c r="L58" s="420" t="s">
        <v>1313</v>
      </c>
      <c r="M58" s="273"/>
      <c r="N58" s="335"/>
      <c r="O58" s="436">
        <f>Pending[[#This Row],[Power Plant Size (MW) or Share]]*0.593*9057*211.9*10^(-9)</f>
        <v>0</v>
      </c>
      <c r="P58" s="335">
        <f>Pending[[#This Row],[Annual Emissions (MMTCO2)]]*40</f>
        <v>0</v>
      </c>
      <c r="Q58" s="335"/>
      <c r="R58" s="377"/>
      <c r="S58" s="438"/>
    </row>
    <row r="59" spans="1:19" s="17" customFormat="1" ht="51" customHeight="1">
      <c r="A59" s="269" t="s">
        <v>75</v>
      </c>
      <c r="B59" s="297" t="s">
        <v>212</v>
      </c>
      <c r="C59" s="297" t="s">
        <v>337</v>
      </c>
      <c r="D59" s="499">
        <v>59805000</v>
      </c>
      <c r="E59" s="269" t="s">
        <v>35</v>
      </c>
      <c r="F59" s="269" t="s">
        <v>1572</v>
      </c>
      <c r="G59" s="373"/>
      <c r="H59" s="370" t="s">
        <v>56</v>
      </c>
      <c r="I59" s="180" t="s">
        <v>244</v>
      </c>
      <c r="J59" s="372" t="s">
        <v>244</v>
      </c>
      <c r="K59" s="368">
        <v>54789</v>
      </c>
      <c r="L59" s="422" t="s">
        <v>549</v>
      </c>
      <c r="M59" s="262"/>
      <c r="N59" s="335"/>
      <c r="O59" s="436">
        <f>Pending[[#This Row],[Power Plant Size (MW) or Share]]*0.593*9057*211.9*10^(-9)</f>
        <v>0</v>
      </c>
      <c r="P59" s="335">
        <f>Pending[[#This Row],[Annual Emissions (MMTCO2)]]*40</f>
        <v>0</v>
      </c>
      <c r="Q59" s="335"/>
      <c r="R59" s="294"/>
      <c r="S59" s="442"/>
    </row>
    <row r="60" spans="1:19" ht="51" customHeight="1">
      <c r="A60" s="269" t="s">
        <v>85</v>
      </c>
      <c r="B60" s="353" t="s">
        <v>511</v>
      </c>
      <c r="C60" s="353" t="s">
        <v>464</v>
      </c>
      <c r="D60" s="499">
        <v>55416330.728047349</v>
      </c>
      <c r="E60" s="269" t="s">
        <v>1315</v>
      </c>
      <c r="F60" s="298" t="s">
        <v>1566</v>
      </c>
      <c r="G60" s="376" t="s">
        <v>1314</v>
      </c>
      <c r="H60" s="370" t="s">
        <v>575</v>
      </c>
      <c r="I60" s="180" t="s">
        <v>284</v>
      </c>
      <c r="J60" s="372" t="s">
        <v>247</v>
      </c>
      <c r="K60" s="378">
        <v>54789</v>
      </c>
      <c r="L60" s="420" t="s">
        <v>1313</v>
      </c>
      <c r="M60" s="273"/>
      <c r="N60" s="335"/>
      <c r="O60" s="436">
        <f>Pending[[#This Row],[Power Plant Size (MW) or Share]]*0.593*9057*211.9*10^(-9)</f>
        <v>0</v>
      </c>
      <c r="P60" s="335">
        <f>Pending[[#This Row],[Annual Emissions (MMTCO2)]]*40</f>
        <v>0</v>
      </c>
      <c r="Q60" s="335"/>
      <c r="R60" s="377"/>
      <c r="S60" s="438"/>
    </row>
    <row r="61" spans="1:19" ht="51" customHeight="1">
      <c r="A61" s="269" t="s">
        <v>78</v>
      </c>
      <c r="B61" s="353" t="s">
        <v>511</v>
      </c>
      <c r="C61" s="353" t="s">
        <v>464</v>
      </c>
      <c r="D61" s="499">
        <v>53540010.435692094</v>
      </c>
      <c r="E61" s="269" t="s">
        <v>1315</v>
      </c>
      <c r="F61" s="298" t="s">
        <v>1566</v>
      </c>
      <c r="G61" s="346"/>
      <c r="H61" s="370" t="s">
        <v>575</v>
      </c>
      <c r="I61" s="180" t="s">
        <v>284</v>
      </c>
      <c r="J61" s="372" t="s">
        <v>247</v>
      </c>
      <c r="K61" s="378">
        <v>54789</v>
      </c>
      <c r="L61" s="420" t="s">
        <v>1313</v>
      </c>
      <c r="M61" s="262" t="s">
        <v>1314</v>
      </c>
      <c r="N61" s="335"/>
      <c r="O61" s="436">
        <f>Pending[[#This Row],[Power Plant Size (MW) or Share]]*0.593*9057*211.9*10^(-9)</f>
        <v>0</v>
      </c>
      <c r="P61" s="335">
        <f>Pending[[#This Row],[Annual Emissions (MMTCO2)]]*40</f>
        <v>0</v>
      </c>
      <c r="Q61" s="335"/>
      <c r="R61" s="377"/>
      <c r="S61" s="438"/>
    </row>
    <row r="62" spans="1:19" ht="51" customHeight="1">
      <c r="A62" s="269" t="s">
        <v>1309</v>
      </c>
      <c r="B62" s="353" t="s">
        <v>511</v>
      </c>
      <c r="C62" s="353" t="s">
        <v>464</v>
      </c>
      <c r="D62" s="495">
        <v>49359498.681509927</v>
      </c>
      <c r="E62" s="269" t="s">
        <v>1315</v>
      </c>
      <c r="F62" s="298" t="s">
        <v>1566</v>
      </c>
      <c r="G62" s="346"/>
      <c r="H62" s="370" t="s">
        <v>575</v>
      </c>
      <c r="I62" s="180" t="s">
        <v>284</v>
      </c>
      <c r="J62" s="372" t="s">
        <v>247</v>
      </c>
      <c r="K62" s="378">
        <v>54789</v>
      </c>
      <c r="L62" s="420" t="s">
        <v>1313</v>
      </c>
      <c r="M62" s="262" t="s">
        <v>1314</v>
      </c>
      <c r="N62" s="335"/>
      <c r="O62" s="436">
        <f>Pending[[#This Row],[Power Plant Size (MW) or Share]]*0.593*9057*211.9*10^(-9)</f>
        <v>0</v>
      </c>
      <c r="P62" s="335">
        <f>Pending[[#This Row],[Annual Emissions (MMTCO2)]]*40</f>
        <v>0</v>
      </c>
      <c r="Q62" s="335"/>
      <c r="R62" s="377"/>
      <c r="S62" s="438"/>
    </row>
    <row r="63" spans="1:19" s="17" customFormat="1" ht="51" customHeight="1">
      <c r="A63" s="269" t="s">
        <v>75</v>
      </c>
      <c r="B63" s="297" t="s">
        <v>34</v>
      </c>
      <c r="C63" s="297" t="s">
        <v>336</v>
      </c>
      <c r="D63" s="499">
        <f>42000000/0.937</f>
        <v>44823906.083244391</v>
      </c>
      <c r="E63" s="269"/>
      <c r="F63" s="269" t="s">
        <v>1584</v>
      </c>
      <c r="G63" s="373"/>
      <c r="H63" s="370" t="s">
        <v>25</v>
      </c>
      <c r="I63" s="171" t="s">
        <v>283</v>
      </c>
      <c r="J63" s="372" t="s">
        <v>283</v>
      </c>
      <c r="K63" s="368">
        <v>54789</v>
      </c>
      <c r="L63" s="422" t="s">
        <v>382</v>
      </c>
      <c r="M63" s="262"/>
      <c r="N63" s="335"/>
      <c r="O63" s="436">
        <f>Pending[[#This Row],[Power Plant Size (MW) or Share]]*0.593*9057*211.9*10^(-9)</f>
        <v>0</v>
      </c>
      <c r="P63" s="335">
        <f>Pending[[#This Row],[Annual Emissions (MMTCO2)]]*40</f>
        <v>0</v>
      </c>
      <c r="Q63" s="335"/>
      <c r="R63" s="294"/>
      <c r="S63" s="442"/>
    </row>
    <row r="64" spans="1:19" s="17" customFormat="1" ht="51" customHeight="1">
      <c r="A64" s="269" t="s">
        <v>75</v>
      </c>
      <c r="B64" s="297" t="s">
        <v>212</v>
      </c>
      <c r="C64" s="297" t="s">
        <v>337</v>
      </c>
      <c r="D64" s="499">
        <v>39870000</v>
      </c>
      <c r="E64" s="269" t="s">
        <v>35</v>
      </c>
      <c r="F64" s="269" t="s">
        <v>1571</v>
      </c>
      <c r="G64" s="407"/>
      <c r="H64" s="370" t="s">
        <v>201</v>
      </c>
      <c r="I64" s="180" t="s">
        <v>244</v>
      </c>
      <c r="J64" s="372" t="s">
        <v>244</v>
      </c>
      <c r="K64" s="368">
        <v>54789</v>
      </c>
      <c r="L64" s="422" t="s">
        <v>279</v>
      </c>
      <c r="M64" s="262"/>
      <c r="N64" s="335"/>
      <c r="O64" s="436">
        <f>Pending[[#This Row],[Power Plant Size (MW) or Share]]*0.593*9057*211.9*10^(-9)</f>
        <v>0</v>
      </c>
      <c r="P64" s="335">
        <f>Pending[[#This Row],[Annual Emissions (MMTCO2)]]*40</f>
        <v>0</v>
      </c>
      <c r="Q64" s="335"/>
      <c r="R64" s="294"/>
      <c r="S64" s="442"/>
    </row>
    <row r="65" spans="1:20" s="17" customFormat="1" ht="51" customHeight="1">
      <c r="A65" s="269" t="s">
        <v>25</v>
      </c>
      <c r="B65" s="353" t="s">
        <v>511</v>
      </c>
      <c r="C65" s="353" t="s">
        <v>464</v>
      </c>
      <c r="D65" s="499">
        <v>30543688.646956798</v>
      </c>
      <c r="E65" s="269" t="s">
        <v>1315</v>
      </c>
      <c r="F65" s="298" t="s">
        <v>1566</v>
      </c>
      <c r="G65" s="346"/>
      <c r="H65" s="370" t="s">
        <v>575</v>
      </c>
      <c r="I65" s="180" t="s">
        <v>284</v>
      </c>
      <c r="J65" s="372" t="s">
        <v>247</v>
      </c>
      <c r="K65" s="378">
        <v>54789</v>
      </c>
      <c r="L65" s="420" t="s">
        <v>1313</v>
      </c>
      <c r="M65" s="262" t="s">
        <v>1314</v>
      </c>
      <c r="N65" s="335"/>
      <c r="O65" s="436">
        <f>Pending[[#This Row],[Power Plant Size (MW) or Share]]*0.593*9057*211.9*10^(-9)</f>
        <v>0</v>
      </c>
      <c r="P65" s="335">
        <f>Pending[[#This Row],[Annual Emissions (MMTCO2)]]*40</f>
        <v>0</v>
      </c>
      <c r="Q65" s="335"/>
      <c r="R65" s="377"/>
      <c r="S65" s="438"/>
    </row>
    <row r="66" spans="1:20" s="17" customFormat="1" ht="51" customHeight="1">
      <c r="A66" s="269" t="s">
        <v>36</v>
      </c>
      <c r="B66" s="353" t="s">
        <v>511</v>
      </c>
      <c r="C66" s="353" t="s">
        <v>464</v>
      </c>
      <c r="D66" s="495">
        <v>27771293.897224408</v>
      </c>
      <c r="E66" s="269" t="s">
        <v>1315</v>
      </c>
      <c r="F66" s="298" t="s">
        <v>1566</v>
      </c>
      <c r="G66" s="376" t="s">
        <v>1314</v>
      </c>
      <c r="H66" s="370" t="s">
        <v>575</v>
      </c>
      <c r="I66" s="180" t="s">
        <v>284</v>
      </c>
      <c r="J66" s="372" t="s">
        <v>247</v>
      </c>
      <c r="K66" s="378">
        <v>54789</v>
      </c>
      <c r="L66" s="420" t="s">
        <v>1313</v>
      </c>
      <c r="M66" s="273"/>
      <c r="N66" s="335"/>
      <c r="O66" s="436">
        <f>Pending[[#This Row],[Power Plant Size (MW) or Share]]*0.593*9057*211.9*10^(-9)</f>
        <v>0</v>
      </c>
      <c r="P66" s="335">
        <f>Pending[[#This Row],[Annual Emissions (MMTCO2)]]*40</f>
        <v>0</v>
      </c>
      <c r="Q66" s="335"/>
      <c r="R66" s="377"/>
      <c r="S66" s="438"/>
    </row>
    <row r="67" spans="1:20" s="2" customFormat="1" ht="28.7">
      <c r="A67" s="269" t="s">
        <v>75</v>
      </c>
      <c r="B67" s="297" t="s">
        <v>34</v>
      </c>
      <c r="C67" s="297" t="s">
        <v>336</v>
      </c>
      <c r="D67" s="499">
        <f>22000000/0.937</f>
        <v>23479188.900747065</v>
      </c>
      <c r="E67" s="269"/>
      <c r="F67" s="269" t="s">
        <v>1585</v>
      </c>
      <c r="G67" s="373"/>
      <c r="H67" s="370" t="s">
        <v>70</v>
      </c>
      <c r="I67" s="171" t="s">
        <v>283</v>
      </c>
      <c r="J67" s="372" t="s">
        <v>283</v>
      </c>
      <c r="K67" s="368">
        <v>54789</v>
      </c>
      <c r="L67" s="422" t="s">
        <v>374</v>
      </c>
      <c r="M67" s="262"/>
      <c r="N67" s="335"/>
      <c r="O67" s="436">
        <f>Pending[[#This Row],[Power Plant Size (MW) or Share]]*0.593*9057*211.9*10^(-9)</f>
        <v>0</v>
      </c>
      <c r="P67" s="335">
        <f>Pending[[#This Row],[Annual Emissions (MMTCO2)]]*40</f>
        <v>0</v>
      </c>
      <c r="Q67" s="335"/>
      <c r="R67" s="294"/>
      <c r="S67" s="442"/>
      <c r="T67" s="185"/>
    </row>
    <row r="68" spans="1:20" s="2" customFormat="1" ht="28.7">
      <c r="A68" s="269" t="s">
        <v>75</v>
      </c>
      <c r="B68" s="297" t="s">
        <v>34</v>
      </c>
      <c r="C68" s="297" t="s">
        <v>336</v>
      </c>
      <c r="D68" s="499">
        <f>20000000/0.937</f>
        <v>21344717.18249733</v>
      </c>
      <c r="E68" s="269"/>
      <c r="F68" s="269" t="s">
        <v>1586</v>
      </c>
      <c r="G68" s="373"/>
      <c r="H68" s="370" t="s">
        <v>45</v>
      </c>
      <c r="I68" s="171" t="s">
        <v>283</v>
      </c>
      <c r="J68" s="372" t="s">
        <v>283</v>
      </c>
      <c r="K68" s="368">
        <v>54789</v>
      </c>
      <c r="L68" s="422" t="s">
        <v>376</v>
      </c>
      <c r="M68" s="262"/>
      <c r="N68" s="335"/>
      <c r="O68" s="436">
        <f>Pending[[#This Row],[Power Plant Size (MW) or Share]]*0.593*9057*211.9*10^(-9)</f>
        <v>0</v>
      </c>
      <c r="P68" s="335">
        <f>Pending[[#This Row],[Annual Emissions (MMTCO2)]]*40</f>
        <v>0</v>
      </c>
      <c r="Q68" s="335"/>
      <c r="R68" s="294"/>
      <c r="S68" s="442"/>
      <c r="T68" s="179"/>
    </row>
    <row r="69" spans="1:20" ht="51" customHeight="1">
      <c r="A69" s="269" t="s">
        <v>1309</v>
      </c>
      <c r="B69" s="353" t="s">
        <v>1432</v>
      </c>
      <c r="C69" s="353" t="s">
        <v>337</v>
      </c>
      <c r="D69" s="495">
        <v>21000000</v>
      </c>
      <c r="E69" s="298" t="s">
        <v>1434</v>
      </c>
      <c r="F69" s="298" t="s">
        <v>1629</v>
      </c>
      <c r="G69" s="346"/>
      <c r="H69" s="403" t="s">
        <v>85</v>
      </c>
      <c r="I69" s="180" t="s">
        <v>284</v>
      </c>
      <c r="J69" s="415" t="s">
        <v>1131</v>
      </c>
      <c r="K69" s="378">
        <v>54789</v>
      </c>
      <c r="L69" s="420"/>
      <c r="M69" s="305" t="s">
        <v>1433</v>
      </c>
      <c r="N69" s="335">
        <f>200/2</f>
        <v>100</v>
      </c>
      <c r="O69" s="436">
        <f>Pending[[#This Row],[Power Plant Size (MW) or Share]]*0.593*9057*211.9*10^(-9)</f>
        <v>0.11380727319</v>
      </c>
      <c r="P69" s="335">
        <f>Pending[[#This Row],[Annual Emissions (MMTCO2)]]*40</f>
        <v>4.5522909275999996</v>
      </c>
      <c r="Q69" s="336"/>
      <c r="R69" s="377" t="s">
        <v>1435</v>
      </c>
      <c r="S69" s="442" t="s">
        <v>1406</v>
      </c>
    </row>
    <row r="70" spans="1:20" ht="51" customHeight="1">
      <c r="A70" s="269" t="s">
        <v>75</v>
      </c>
      <c r="B70" s="297" t="s">
        <v>34</v>
      </c>
      <c r="C70" s="297" t="s">
        <v>336</v>
      </c>
      <c r="D70" s="499">
        <f>18000000/0.937</f>
        <v>19210245.464247599</v>
      </c>
      <c r="E70" s="269"/>
      <c r="F70" s="269" t="s">
        <v>1587</v>
      </c>
      <c r="G70" s="373"/>
      <c r="H70" s="370" t="s">
        <v>56</v>
      </c>
      <c r="I70" s="180" t="s">
        <v>40</v>
      </c>
      <c r="J70" s="372" t="s">
        <v>40</v>
      </c>
      <c r="K70" s="368">
        <v>54789</v>
      </c>
      <c r="L70" s="422" t="s">
        <v>381</v>
      </c>
      <c r="M70" s="262"/>
      <c r="N70" s="335"/>
      <c r="O70" s="436">
        <f>Pending[[#This Row],[Power Plant Size (MW) or Share]]*0.593*9057*211.9*10^(-9)</f>
        <v>0</v>
      </c>
      <c r="P70" s="335">
        <f>Pending[[#This Row],[Annual Emissions (MMTCO2)]]*40</f>
        <v>0</v>
      </c>
      <c r="Q70" s="335"/>
      <c r="R70" s="294"/>
      <c r="S70" s="442"/>
    </row>
    <row r="71" spans="1:20" ht="51" customHeight="1">
      <c r="A71" s="269" t="s">
        <v>75</v>
      </c>
      <c r="B71" s="297" t="s">
        <v>34</v>
      </c>
      <c r="C71" s="297" t="s">
        <v>336</v>
      </c>
      <c r="D71" s="499">
        <f>16000000/0.937</f>
        <v>17075773.745997865</v>
      </c>
      <c r="E71" s="269"/>
      <c r="F71" s="269" t="s">
        <v>1592</v>
      </c>
      <c r="G71" s="407"/>
      <c r="H71" s="370" t="s">
        <v>11</v>
      </c>
      <c r="I71" s="180" t="s">
        <v>40</v>
      </c>
      <c r="J71" s="372" t="s">
        <v>40</v>
      </c>
      <c r="K71" s="368">
        <v>54789</v>
      </c>
      <c r="L71" s="422" t="s">
        <v>372</v>
      </c>
      <c r="M71" s="262"/>
      <c r="N71" s="335"/>
      <c r="O71" s="436">
        <f>Pending[[#This Row],[Power Plant Size (MW) or Share]]*0.593*9057*211.9*10^(-9)</f>
        <v>0</v>
      </c>
      <c r="P71" s="335">
        <f>Pending[[#This Row],[Annual Emissions (MMTCO2)]]*40</f>
        <v>0</v>
      </c>
      <c r="Q71" s="335"/>
      <c r="R71" s="294"/>
      <c r="S71" s="442"/>
    </row>
    <row r="72" spans="1:20" s="17" customFormat="1" ht="51" customHeight="1">
      <c r="A72" s="269" t="s">
        <v>208</v>
      </c>
      <c r="B72" s="353" t="s">
        <v>509</v>
      </c>
      <c r="C72" s="353" t="s">
        <v>464</v>
      </c>
      <c r="D72" s="495">
        <v>16340795.099972466</v>
      </c>
      <c r="E72" s="375" t="s">
        <v>1303</v>
      </c>
      <c r="F72" s="269" t="s">
        <v>1623</v>
      </c>
      <c r="G72" s="376"/>
      <c r="H72" s="371" t="s">
        <v>575</v>
      </c>
      <c r="I72" s="171" t="s">
        <v>283</v>
      </c>
      <c r="J72" s="371" t="s">
        <v>26</v>
      </c>
      <c r="K72" s="368">
        <v>54789</v>
      </c>
      <c r="L72" s="425" t="s">
        <v>1328</v>
      </c>
      <c r="M72" s="262" t="s">
        <v>1302</v>
      </c>
      <c r="N72" s="336">
        <f t="shared" ref="N72:N78" si="0">300/2/15</f>
        <v>10</v>
      </c>
      <c r="O72" s="436">
        <f>Pending[[#This Row],[Power Plant Size (MW) or Share]]*0.593*9057*211.9*10^(-9)</f>
        <v>1.1380727318999998E-2</v>
      </c>
      <c r="P72" s="335">
        <f>Pending[[#This Row],[Annual Emissions (MMTCO2)]]*40</f>
        <v>0.45522909275999995</v>
      </c>
      <c r="Q72" s="336"/>
      <c r="R72" s="294"/>
      <c r="S72" s="442"/>
    </row>
    <row r="73" spans="1:20" ht="51" customHeight="1">
      <c r="A73" s="269" t="s">
        <v>160</v>
      </c>
      <c r="B73" s="353" t="s">
        <v>509</v>
      </c>
      <c r="C73" s="353" t="s">
        <v>464</v>
      </c>
      <c r="D73" s="499">
        <v>13678572.134149428</v>
      </c>
      <c r="E73" s="375" t="s">
        <v>1303</v>
      </c>
      <c r="F73" s="269" t="s">
        <v>1623</v>
      </c>
      <c r="G73" s="346"/>
      <c r="H73" s="371" t="s">
        <v>575</v>
      </c>
      <c r="I73" s="171" t="s">
        <v>283</v>
      </c>
      <c r="J73" s="371" t="s">
        <v>26</v>
      </c>
      <c r="K73" s="368">
        <v>54789</v>
      </c>
      <c r="L73" s="425" t="s">
        <v>1328</v>
      </c>
      <c r="M73" s="262"/>
      <c r="N73" s="336">
        <f t="shared" si="0"/>
        <v>10</v>
      </c>
      <c r="O73" s="436">
        <f>Pending[[#This Row],[Power Plant Size (MW) or Share]]*0.593*9057*211.9*10^(-9)</f>
        <v>1.1380727318999998E-2</v>
      </c>
      <c r="P73" s="335">
        <f>Pending[[#This Row],[Annual Emissions (MMTCO2)]]*40</f>
        <v>0.45522909275999995</v>
      </c>
      <c r="Q73" s="336"/>
      <c r="R73" s="294"/>
      <c r="S73" s="442"/>
    </row>
    <row r="74" spans="1:20" ht="51" customHeight="1">
      <c r="A74" s="269" t="s">
        <v>25</v>
      </c>
      <c r="B74" s="353" t="s">
        <v>509</v>
      </c>
      <c r="C74" s="353" t="s">
        <v>464</v>
      </c>
      <c r="D74" s="499">
        <v>12372773.261980582</v>
      </c>
      <c r="E74" s="375" t="s">
        <v>1303</v>
      </c>
      <c r="F74" s="269" t="s">
        <v>1623</v>
      </c>
      <c r="G74" s="346"/>
      <c r="H74" s="371" t="s">
        <v>575</v>
      </c>
      <c r="I74" s="171" t="s">
        <v>283</v>
      </c>
      <c r="J74" s="371" t="s">
        <v>26</v>
      </c>
      <c r="K74" s="368">
        <v>54789</v>
      </c>
      <c r="L74" s="425" t="s">
        <v>1328</v>
      </c>
      <c r="M74" s="262"/>
      <c r="N74" s="336">
        <f t="shared" si="0"/>
        <v>10</v>
      </c>
      <c r="O74" s="436">
        <f>Pending[[#This Row],[Power Plant Size (MW) or Share]]*0.593*9057*211.9*10^(-9)</f>
        <v>1.1380727318999998E-2</v>
      </c>
      <c r="P74" s="335">
        <f>Pending[[#This Row],[Annual Emissions (MMTCO2)]]*40</f>
        <v>0.45522909275999995</v>
      </c>
      <c r="Q74" s="336"/>
      <c r="R74" s="294"/>
      <c r="S74" s="442"/>
    </row>
    <row r="75" spans="1:20" ht="51" customHeight="1">
      <c r="A75" s="406" t="s">
        <v>75</v>
      </c>
      <c r="B75" s="353" t="s">
        <v>509</v>
      </c>
      <c r="C75" s="353" t="s">
        <v>464</v>
      </c>
      <c r="D75" s="499">
        <v>10274180.334447499</v>
      </c>
      <c r="E75" s="375" t="s">
        <v>1303</v>
      </c>
      <c r="F75" s="269" t="s">
        <v>1623</v>
      </c>
      <c r="G75" s="376"/>
      <c r="H75" s="371" t="s">
        <v>575</v>
      </c>
      <c r="I75" s="171" t="s">
        <v>283</v>
      </c>
      <c r="J75" s="371" t="s">
        <v>26</v>
      </c>
      <c r="K75" s="368">
        <v>54789</v>
      </c>
      <c r="L75" s="425" t="s">
        <v>1328</v>
      </c>
      <c r="M75" s="262" t="s">
        <v>1302</v>
      </c>
      <c r="N75" s="336">
        <f t="shared" si="0"/>
        <v>10</v>
      </c>
      <c r="O75" s="436">
        <f>Pending[[#This Row],[Power Plant Size (MW) or Share]]*0.593*9057*211.9*10^(-9)</f>
        <v>1.1380727318999998E-2</v>
      </c>
      <c r="P75" s="335">
        <f>Pending[[#This Row],[Annual Emissions (MMTCO2)]]*40</f>
        <v>0.45522909275999995</v>
      </c>
      <c r="Q75" s="336"/>
      <c r="R75" s="294"/>
      <c r="S75" s="442"/>
    </row>
    <row r="76" spans="1:20" ht="51" customHeight="1">
      <c r="A76" s="269" t="s">
        <v>20</v>
      </c>
      <c r="B76" s="353" t="s">
        <v>509</v>
      </c>
      <c r="C76" s="353" t="s">
        <v>464</v>
      </c>
      <c r="D76" s="499">
        <v>9516499.8092293479</v>
      </c>
      <c r="E76" s="375" t="s">
        <v>1303</v>
      </c>
      <c r="F76" s="269" t="s">
        <v>1623</v>
      </c>
      <c r="G76" s="409"/>
      <c r="H76" s="371" t="s">
        <v>575</v>
      </c>
      <c r="I76" s="171" t="s">
        <v>283</v>
      </c>
      <c r="J76" s="371" t="s">
        <v>26</v>
      </c>
      <c r="K76" s="368">
        <v>54789</v>
      </c>
      <c r="L76" s="425" t="s">
        <v>1328</v>
      </c>
      <c r="M76" s="262" t="s">
        <v>1302</v>
      </c>
      <c r="N76" s="336">
        <f t="shared" si="0"/>
        <v>10</v>
      </c>
      <c r="O76" s="436">
        <f>Pending[[#This Row],[Power Plant Size (MW) or Share]]*0.593*9057*211.9*10^(-9)</f>
        <v>1.1380727318999998E-2</v>
      </c>
      <c r="P76" s="335">
        <f>Pending[[#This Row],[Annual Emissions (MMTCO2)]]*40</f>
        <v>0.45522909275999995</v>
      </c>
      <c r="Q76" s="336"/>
      <c r="R76" s="294"/>
      <c r="S76" s="442"/>
    </row>
    <row r="77" spans="1:20" ht="51" customHeight="1">
      <c r="A77" s="269" t="s">
        <v>33</v>
      </c>
      <c r="B77" s="353" t="s">
        <v>509</v>
      </c>
      <c r="C77" s="353" t="s">
        <v>464</v>
      </c>
      <c r="D77" s="499">
        <v>9361267.1369461641</v>
      </c>
      <c r="E77" s="375" t="s">
        <v>1303</v>
      </c>
      <c r="F77" s="269" t="s">
        <v>1623</v>
      </c>
      <c r="G77" s="376"/>
      <c r="H77" s="371" t="s">
        <v>575</v>
      </c>
      <c r="I77" s="171" t="s">
        <v>283</v>
      </c>
      <c r="J77" s="371" t="s">
        <v>26</v>
      </c>
      <c r="K77" s="368">
        <v>54789</v>
      </c>
      <c r="L77" s="425" t="s">
        <v>1328</v>
      </c>
      <c r="M77" s="262" t="s">
        <v>1302</v>
      </c>
      <c r="N77" s="336">
        <f t="shared" si="0"/>
        <v>10</v>
      </c>
      <c r="O77" s="436">
        <f>Pending[[#This Row],[Power Plant Size (MW) or Share]]*0.593*9057*211.9*10^(-9)</f>
        <v>1.1380727318999998E-2</v>
      </c>
      <c r="P77" s="335">
        <f>Pending[[#This Row],[Annual Emissions (MMTCO2)]]*40</f>
        <v>0.45522909275999995</v>
      </c>
      <c r="Q77" s="336"/>
      <c r="R77" s="294"/>
      <c r="S77" s="442"/>
    </row>
    <row r="78" spans="1:20" ht="51" customHeight="1">
      <c r="A78" s="269" t="s">
        <v>86</v>
      </c>
      <c r="B78" s="353" t="s">
        <v>509</v>
      </c>
      <c r="C78" s="353" t="s">
        <v>464</v>
      </c>
      <c r="D78" s="499">
        <v>6057585.5720588285</v>
      </c>
      <c r="E78" s="375" t="s">
        <v>1303</v>
      </c>
      <c r="F78" s="269" t="s">
        <v>1623</v>
      </c>
      <c r="G78" s="376"/>
      <c r="H78" s="371" t="s">
        <v>575</v>
      </c>
      <c r="I78" s="171" t="s">
        <v>283</v>
      </c>
      <c r="J78" s="371" t="s">
        <v>26</v>
      </c>
      <c r="K78" s="368">
        <v>54789</v>
      </c>
      <c r="L78" s="425" t="s">
        <v>1328</v>
      </c>
      <c r="M78" s="262" t="s">
        <v>1302</v>
      </c>
      <c r="N78" s="336">
        <f t="shared" si="0"/>
        <v>10</v>
      </c>
      <c r="O78" s="436">
        <f>Pending[[#This Row],[Power Plant Size (MW) or Share]]*0.593*9057*211.9*10^(-9)</f>
        <v>1.1380727318999998E-2</v>
      </c>
      <c r="P78" s="335">
        <f>Pending[[#This Row],[Annual Emissions (MMTCO2)]]*40</f>
        <v>0.45522909275999995</v>
      </c>
      <c r="Q78" s="336"/>
      <c r="R78" s="294"/>
      <c r="S78" s="442"/>
    </row>
    <row r="79" spans="1:20" ht="51" customHeight="1">
      <c r="A79" s="269" t="s">
        <v>75</v>
      </c>
      <c r="B79" s="297" t="s">
        <v>212</v>
      </c>
      <c r="C79" s="297" t="s">
        <v>337</v>
      </c>
      <c r="D79" s="499">
        <v>5316000</v>
      </c>
      <c r="E79" s="269" t="s">
        <v>35</v>
      </c>
      <c r="F79" s="269" t="s">
        <v>242</v>
      </c>
      <c r="G79" s="407"/>
      <c r="H79" s="370" t="s">
        <v>243</v>
      </c>
      <c r="I79" s="180" t="s">
        <v>284</v>
      </c>
      <c r="J79" s="372" t="s">
        <v>240</v>
      </c>
      <c r="K79" s="368">
        <v>54789</v>
      </c>
      <c r="L79" s="422" t="s">
        <v>279</v>
      </c>
      <c r="M79" s="262"/>
      <c r="N79" s="335"/>
      <c r="O79" s="436">
        <f>Pending[[#This Row],[Power Plant Size (MW) or Share]]*0.593*9057*211.9*10^(-9)</f>
        <v>0</v>
      </c>
      <c r="P79" s="335">
        <f>Pending[[#This Row],[Annual Emissions (MMTCO2)]]*40</f>
        <v>0</v>
      </c>
      <c r="Q79" s="335"/>
      <c r="R79" s="294"/>
      <c r="S79" s="442"/>
    </row>
    <row r="80" spans="1:20" s="2" customFormat="1" ht="129">
      <c r="A80" s="269" t="s">
        <v>190</v>
      </c>
      <c r="B80" s="353" t="s">
        <v>509</v>
      </c>
      <c r="C80" s="353" t="s">
        <v>464</v>
      </c>
      <c r="D80" s="495">
        <v>4375068.6836084174</v>
      </c>
      <c r="E80" s="375" t="s">
        <v>1303</v>
      </c>
      <c r="F80" s="269" t="s">
        <v>1623</v>
      </c>
      <c r="G80" s="376"/>
      <c r="H80" s="371" t="s">
        <v>575</v>
      </c>
      <c r="I80" s="171" t="s">
        <v>283</v>
      </c>
      <c r="J80" s="371" t="s">
        <v>26</v>
      </c>
      <c r="K80" s="368">
        <v>54789</v>
      </c>
      <c r="L80" s="425" t="s">
        <v>1328</v>
      </c>
      <c r="M80" s="262" t="s">
        <v>1302</v>
      </c>
      <c r="N80" s="336">
        <f>300/2/15</f>
        <v>10</v>
      </c>
      <c r="O80" s="436">
        <f>Pending[[#This Row],[Power Plant Size (MW) or Share]]*0.593*9057*211.9*10^(-9)</f>
        <v>1.1380727318999998E-2</v>
      </c>
      <c r="P80" s="335">
        <f>Pending[[#This Row],[Annual Emissions (MMTCO2)]]*40</f>
        <v>0.45522909275999995</v>
      </c>
      <c r="Q80" s="336"/>
      <c r="R80" s="294"/>
      <c r="S80" s="442"/>
      <c r="T80" s="167"/>
    </row>
    <row r="81" spans="1:20" ht="51" customHeight="1">
      <c r="A81" s="269" t="s">
        <v>75</v>
      </c>
      <c r="B81" s="297" t="s">
        <v>34</v>
      </c>
      <c r="C81" s="297" t="s">
        <v>336</v>
      </c>
      <c r="D81" s="499">
        <f>4000000/0.937</f>
        <v>4268943.4364994662</v>
      </c>
      <c r="E81" s="269"/>
      <c r="F81" s="269" t="s">
        <v>1588</v>
      </c>
      <c r="G81" s="373"/>
      <c r="H81" s="370" t="s">
        <v>11</v>
      </c>
      <c r="I81" s="180" t="s">
        <v>40</v>
      </c>
      <c r="J81" s="372" t="s">
        <v>40</v>
      </c>
      <c r="K81" s="368">
        <v>54789</v>
      </c>
      <c r="L81" s="422" t="s">
        <v>373</v>
      </c>
      <c r="M81" s="262"/>
      <c r="N81" s="335"/>
      <c r="O81" s="436">
        <f>Pending[[#This Row],[Power Plant Size (MW) or Share]]*0.593*9057*211.9*10^(-9)</f>
        <v>0</v>
      </c>
      <c r="P81" s="335">
        <f>Pending[[#This Row],[Annual Emissions (MMTCO2)]]*40</f>
        <v>0</v>
      </c>
      <c r="Q81" s="335"/>
      <c r="R81" s="294"/>
      <c r="S81" s="442"/>
    </row>
    <row r="82" spans="1:20" ht="51" customHeight="1">
      <c r="A82" s="269" t="s">
        <v>75</v>
      </c>
      <c r="B82" s="297" t="s">
        <v>34</v>
      </c>
      <c r="C82" s="297" t="s">
        <v>336</v>
      </c>
      <c r="D82" s="499">
        <f>3000000/0.937</f>
        <v>3201707.5773745994</v>
      </c>
      <c r="E82" s="269"/>
      <c r="F82" s="269" t="s">
        <v>630</v>
      </c>
      <c r="G82" s="373"/>
      <c r="H82" s="370" t="s">
        <v>45</v>
      </c>
      <c r="I82" s="180" t="s">
        <v>40</v>
      </c>
      <c r="J82" s="372" t="s">
        <v>40</v>
      </c>
      <c r="K82" s="368">
        <v>54789</v>
      </c>
      <c r="L82" s="422" t="s">
        <v>380</v>
      </c>
      <c r="M82" s="262"/>
      <c r="N82" s="335"/>
      <c r="O82" s="436">
        <f>Pending[[#This Row],[Power Plant Size (MW) or Share]]*0.593*9057*211.9*10^(-9)</f>
        <v>0</v>
      </c>
      <c r="P82" s="335">
        <f>Pending[[#This Row],[Annual Emissions (MMTCO2)]]*40</f>
        <v>0</v>
      </c>
      <c r="Q82" s="335"/>
      <c r="R82" s="294"/>
      <c r="S82" s="442"/>
    </row>
    <row r="83" spans="1:20" ht="51" customHeight="1">
      <c r="A83" s="269" t="s">
        <v>239</v>
      </c>
      <c r="B83" s="353" t="s">
        <v>509</v>
      </c>
      <c r="C83" s="353" t="s">
        <v>464</v>
      </c>
      <c r="D83" s="499">
        <v>2869431.3799817995</v>
      </c>
      <c r="E83" s="375" t="s">
        <v>1303</v>
      </c>
      <c r="F83" s="269" t="s">
        <v>1623</v>
      </c>
      <c r="G83" s="389"/>
      <c r="H83" s="371" t="s">
        <v>575</v>
      </c>
      <c r="I83" s="171" t="s">
        <v>283</v>
      </c>
      <c r="J83" s="371" t="s">
        <v>26</v>
      </c>
      <c r="K83" s="368">
        <v>54789</v>
      </c>
      <c r="L83" s="425" t="s">
        <v>1328</v>
      </c>
      <c r="M83" s="262" t="s">
        <v>1302</v>
      </c>
      <c r="N83" s="336">
        <f>300/2/15</f>
        <v>10</v>
      </c>
      <c r="O83" s="436">
        <f>Pending[[#This Row],[Power Plant Size (MW) or Share]]*0.593*9057*211.9*10^(-9)</f>
        <v>1.1380727318999998E-2</v>
      </c>
      <c r="P83" s="335">
        <f>Pending[[#This Row],[Annual Emissions (MMTCO2)]]*40</f>
        <v>0.45522909275999995</v>
      </c>
      <c r="Q83" s="336"/>
      <c r="R83" s="294"/>
      <c r="S83" s="442"/>
    </row>
    <row r="84" spans="1:20" ht="51" customHeight="1">
      <c r="A84" s="269" t="s">
        <v>75</v>
      </c>
      <c r="B84" s="297" t="s">
        <v>34</v>
      </c>
      <c r="C84" s="297" t="s">
        <v>336</v>
      </c>
      <c r="D84" s="499">
        <f>2000000/0.937</f>
        <v>2134471.7182497331</v>
      </c>
      <c r="E84" s="269"/>
      <c r="F84" s="269" t="s">
        <v>1586</v>
      </c>
      <c r="G84" s="373"/>
      <c r="H84" s="370" t="s">
        <v>45</v>
      </c>
      <c r="I84" s="171" t="s">
        <v>283</v>
      </c>
      <c r="J84" s="372" t="s">
        <v>283</v>
      </c>
      <c r="K84" s="368">
        <v>54789</v>
      </c>
      <c r="L84" s="422" t="s">
        <v>377</v>
      </c>
      <c r="M84" s="262"/>
      <c r="N84" s="335"/>
      <c r="O84" s="436">
        <f>Pending[[#This Row],[Power Plant Size (MW) or Share]]*0.593*9057*211.9*10^(-9)</f>
        <v>0</v>
      </c>
      <c r="P84" s="335">
        <f>Pending[[#This Row],[Annual Emissions (MMTCO2)]]*40</f>
        <v>0</v>
      </c>
      <c r="Q84" s="335"/>
      <c r="R84" s="294"/>
      <c r="S84" s="442"/>
    </row>
    <row r="85" spans="1:20" s="17" customFormat="1" ht="51" customHeight="1">
      <c r="A85" s="269" t="s">
        <v>1309</v>
      </c>
      <c r="B85" s="353" t="s">
        <v>509</v>
      </c>
      <c r="C85" s="353" t="s">
        <v>464</v>
      </c>
      <c r="D85" s="495">
        <v>1187917.7352498479</v>
      </c>
      <c r="E85" s="375" t="s">
        <v>1303</v>
      </c>
      <c r="F85" s="269" t="s">
        <v>1623</v>
      </c>
      <c r="G85" s="346"/>
      <c r="H85" s="371" t="s">
        <v>575</v>
      </c>
      <c r="I85" s="171" t="s">
        <v>283</v>
      </c>
      <c r="J85" s="371" t="s">
        <v>26</v>
      </c>
      <c r="K85" s="368">
        <v>54789</v>
      </c>
      <c r="L85" s="425" t="s">
        <v>1328</v>
      </c>
      <c r="M85" s="262"/>
      <c r="N85" s="336">
        <f>300/2/15</f>
        <v>10</v>
      </c>
      <c r="O85" s="436">
        <f>Pending[[#This Row],[Power Plant Size (MW) or Share]]*0.593*9057*211.9*10^(-9)</f>
        <v>1.1380727318999998E-2</v>
      </c>
      <c r="P85" s="335">
        <f>Pending[[#This Row],[Annual Emissions (MMTCO2)]]*40</f>
        <v>0.45522909275999995</v>
      </c>
      <c r="Q85" s="336"/>
      <c r="R85" s="294"/>
      <c r="S85" s="442"/>
    </row>
    <row r="86" spans="1:20" ht="51" customHeight="1">
      <c r="A86" s="269" t="s">
        <v>75</v>
      </c>
      <c r="B86" s="297" t="s">
        <v>34</v>
      </c>
      <c r="C86" s="297" t="s">
        <v>336</v>
      </c>
      <c r="D86" s="499">
        <f>1000000/0.937</f>
        <v>1067235.8591248665</v>
      </c>
      <c r="E86" s="269"/>
      <c r="F86" s="269" t="s">
        <v>1583</v>
      </c>
      <c r="G86" s="373"/>
      <c r="H86" s="370" t="s">
        <v>45</v>
      </c>
      <c r="I86" s="171" t="s">
        <v>283</v>
      </c>
      <c r="J86" s="372" t="s">
        <v>283</v>
      </c>
      <c r="K86" s="368">
        <v>54789</v>
      </c>
      <c r="L86" s="422" t="s">
        <v>378</v>
      </c>
      <c r="M86" s="262"/>
      <c r="N86" s="335"/>
      <c r="O86" s="436">
        <f>Pending[[#This Row],[Power Plant Size (MW) or Share]]*0.593*9057*211.9*10^(-9)</f>
        <v>0</v>
      </c>
      <c r="P86" s="335">
        <f>Pending[[#This Row],[Annual Emissions (MMTCO2)]]*40</f>
        <v>0</v>
      </c>
      <c r="Q86" s="335"/>
      <c r="R86" s="294"/>
      <c r="S86" s="442"/>
    </row>
    <row r="87" spans="1:20" s="2" customFormat="1" ht="14.35">
      <c r="A87" s="269" t="s">
        <v>75</v>
      </c>
      <c r="B87" s="297" t="s">
        <v>34</v>
      </c>
      <c r="C87" s="297" t="s">
        <v>336</v>
      </c>
      <c r="D87" s="499">
        <f>1000000/0.937</f>
        <v>1067235.8591248665</v>
      </c>
      <c r="E87" s="269"/>
      <c r="F87" s="269" t="s">
        <v>1589</v>
      </c>
      <c r="G87" s="373"/>
      <c r="H87" s="370" t="s">
        <v>45</v>
      </c>
      <c r="I87" s="180" t="s">
        <v>40</v>
      </c>
      <c r="J87" s="372" t="s">
        <v>40</v>
      </c>
      <c r="K87" s="368">
        <v>54789</v>
      </c>
      <c r="L87" s="422" t="s">
        <v>378</v>
      </c>
      <c r="M87" s="262"/>
      <c r="N87" s="335"/>
      <c r="O87" s="436">
        <f>Pending[[#This Row],[Power Plant Size (MW) or Share]]*0.593*9057*211.9*10^(-9)</f>
        <v>0</v>
      </c>
      <c r="P87" s="335">
        <f>Pending[[#This Row],[Annual Emissions (MMTCO2)]]*40</f>
        <v>0</v>
      </c>
      <c r="Q87" s="335"/>
      <c r="R87" s="294"/>
      <c r="S87" s="442"/>
      <c r="T87" s="185"/>
    </row>
    <row r="88" spans="1:20" ht="51" customHeight="1">
      <c r="A88" s="269" t="s">
        <v>75</v>
      </c>
      <c r="B88" s="297" t="s">
        <v>34</v>
      </c>
      <c r="C88" s="297" t="s">
        <v>336</v>
      </c>
      <c r="D88" s="499">
        <f>1000000/0.937</f>
        <v>1067235.8591248665</v>
      </c>
      <c r="E88" s="269"/>
      <c r="F88" s="269" t="s">
        <v>1591</v>
      </c>
      <c r="G88" s="373"/>
      <c r="H88" s="370" t="s">
        <v>45</v>
      </c>
      <c r="I88" s="180" t="s">
        <v>40</v>
      </c>
      <c r="J88" s="372" t="s">
        <v>40</v>
      </c>
      <c r="K88" s="368">
        <v>54789</v>
      </c>
      <c r="L88" s="422" t="s">
        <v>378</v>
      </c>
      <c r="M88" s="262"/>
      <c r="N88" s="335"/>
      <c r="O88" s="436">
        <f>Pending[[#This Row],[Power Plant Size (MW) or Share]]*0.593*9057*211.9*10^(-9)</f>
        <v>0</v>
      </c>
      <c r="P88" s="335">
        <f>Pending[[#This Row],[Annual Emissions (MMTCO2)]]*40</f>
        <v>0</v>
      </c>
      <c r="Q88" s="335"/>
      <c r="R88" s="294"/>
      <c r="S88" s="442"/>
    </row>
    <row r="89" spans="1:20" ht="51" customHeight="1">
      <c r="A89" s="269" t="s">
        <v>473</v>
      </c>
      <c r="B89" s="353" t="s">
        <v>509</v>
      </c>
      <c r="C89" s="353" t="s">
        <v>464</v>
      </c>
      <c r="D89" s="495">
        <v>941930.09274293622</v>
      </c>
      <c r="E89" s="375" t="s">
        <v>1303</v>
      </c>
      <c r="F89" s="269" t="s">
        <v>1623</v>
      </c>
      <c r="G89" s="376"/>
      <c r="H89" s="371" t="s">
        <v>575</v>
      </c>
      <c r="I89" s="171" t="s">
        <v>283</v>
      </c>
      <c r="J89" s="371" t="s">
        <v>26</v>
      </c>
      <c r="K89" s="368">
        <v>54789</v>
      </c>
      <c r="L89" s="425" t="s">
        <v>1328</v>
      </c>
      <c r="M89" s="262" t="s">
        <v>1302</v>
      </c>
      <c r="N89" s="336">
        <f>300/2/15</f>
        <v>10</v>
      </c>
      <c r="O89" s="436">
        <f>Pending[[#This Row],[Power Plant Size (MW) or Share]]*0.593*9057*211.9*10^(-9)</f>
        <v>1.1380727318999998E-2</v>
      </c>
      <c r="P89" s="335">
        <f>Pending[[#This Row],[Annual Emissions (MMTCO2)]]*40</f>
        <v>0.45522909275999995</v>
      </c>
      <c r="Q89" s="336"/>
      <c r="R89" s="294"/>
      <c r="S89" s="442"/>
    </row>
    <row r="90" spans="1:20" ht="51" customHeight="1">
      <c r="A90" s="269" t="s">
        <v>36</v>
      </c>
      <c r="B90" s="353" t="s">
        <v>509</v>
      </c>
      <c r="C90" s="353" t="s">
        <v>464</v>
      </c>
      <c r="D90" s="495">
        <v>845464.35058336309</v>
      </c>
      <c r="E90" s="375" t="s">
        <v>1303</v>
      </c>
      <c r="F90" s="269" t="s">
        <v>1623</v>
      </c>
      <c r="G90" s="376"/>
      <c r="H90" s="371" t="s">
        <v>575</v>
      </c>
      <c r="I90" s="171" t="s">
        <v>283</v>
      </c>
      <c r="J90" s="371" t="s">
        <v>26</v>
      </c>
      <c r="K90" s="368">
        <v>54789</v>
      </c>
      <c r="L90" s="425" t="s">
        <v>1328</v>
      </c>
      <c r="M90" s="262" t="s">
        <v>1302</v>
      </c>
      <c r="N90" s="336">
        <f>300/2/15</f>
        <v>10</v>
      </c>
      <c r="O90" s="436">
        <f>Pending[[#This Row],[Power Plant Size (MW) or Share]]*0.593*9057*211.9*10^(-9)</f>
        <v>1.1380727318999998E-2</v>
      </c>
      <c r="P90" s="335">
        <f>Pending[[#This Row],[Annual Emissions (MMTCO2)]]*40</f>
        <v>0.45522909275999995</v>
      </c>
      <c r="Q90" s="336"/>
      <c r="R90" s="294"/>
      <c r="S90" s="442"/>
    </row>
    <row r="91" spans="1:20" ht="51" customHeight="1">
      <c r="A91" s="269" t="s">
        <v>65</v>
      </c>
      <c r="B91" s="353" t="s">
        <v>509</v>
      </c>
      <c r="C91" s="353" t="s">
        <v>464</v>
      </c>
      <c r="D91" s="499">
        <v>645124.29726636154</v>
      </c>
      <c r="E91" s="375" t="s">
        <v>1303</v>
      </c>
      <c r="F91" s="269" t="s">
        <v>1623</v>
      </c>
      <c r="G91" s="376"/>
      <c r="H91" s="371" t="s">
        <v>575</v>
      </c>
      <c r="I91" s="171" t="s">
        <v>283</v>
      </c>
      <c r="J91" s="371" t="s">
        <v>26</v>
      </c>
      <c r="K91" s="368">
        <v>54789</v>
      </c>
      <c r="L91" s="425" t="s">
        <v>1328</v>
      </c>
      <c r="M91" s="262" t="s">
        <v>1302</v>
      </c>
      <c r="N91" s="336">
        <f>300/2/15</f>
        <v>10</v>
      </c>
      <c r="O91" s="436">
        <f>Pending[[#This Row],[Power Plant Size (MW) or Share]]*0.593*9057*211.9*10^(-9)</f>
        <v>1.1380727318999998E-2</v>
      </c>
      <c r="P91" s="335">
        <f>Pending[[#This Row],[Annual Emissions (MMTCO2)]]*40</f>
        <v>0.45522909275999995</v>
      </c>
      <c r="Q91" s="336"/>
      <c r="R91" s="294"/>
      <c r="S91" s="442"/>
    </row>
    <row r="92" spans="1:20" s="2" customFormat="1" ht="129">
      <c r="A92" s="269" t="s">
        <v>1253</v>
      </c>
      <c r="B92" s="353" t="s">
        <v>509</v>
      </c>
      <c r="C92" s="353" t="s">
        <v>464</v>
      </c>
      <c r="D92" s="499">
        <v>505789.17929107405</v>
      </c>
      <c r="E92" s="375" t="s">
        <v>1303</v>
      </c>
      <c r="F92" s="269" t="s">
        <v>1623</v>
      </c>
      <c r="G92" s="346"/>
      <c r="H92" s="371" t="s">
        <v>575</v>
      </c>
      <c r="I92" s="171" t="s">
        <v>283</v>
      </c>
      <c r="J92" s="371" t="s">
        <v>26</v>
      </c>
      <c r="K92" s="368">
        <v>54789</v>
      </c>
      <c r="L92" s="425" t="s">
        <v>1328</v>
      </c>
      <c r="M92" s="262"/>
      <c r="N92" s="336">
        <f>300/2/15</f>
        <v>10</v>
      </c>
      <c r="O92" s="436">
        <f>Pending[[#This Row],[Power Plant Size (MW) or Share]]*0.593*9057*211.9*10^(-9)</f>
        <v>1.1380727318999998E-2</v>
      </c>
      <c r="P92" s="335">
        <f>Pending[[#This Row],[Annual Emissions (MMTCO2)]]*40</f>
        <v>0.45522909275999995</v>
      </c>
      <c r="Q92" s="336"/>
      <c r="R92" s="294"/>
      <c r="S92" s="442"/>
      <c r="T92" s="167"/>
    </row>
    <row r="93" spans="1:20" s="2" customFormat="1" ht="100.35">
      <c r="A93" s="298" t="s">
        <v>208</v>
      </c>
      <c r="B93" s="353" t="s">
        <v>511</v>
      </c>
      <c r="C93" s="353" t="s">
        <v>464</v>
      </c>
      <c r="D93" s="503">
        <v>424243.91438028892</v>
      </c>
      <c r="E93" s="269" t="s">
        <v>558</v>
      </c>
      <c r="F93" s="298" t="s">
        <v>1577</v>
      </c>
      <c r="G93" s="376" t="s">
        <v>789</v>
      </c>
      <c r="H93" s="370" t="s">
        <v>557</v>
      </c>
      <c r="I93" s="180" t="s">
        <v>284</v>
      </c>
      <c r="J93" s="372" t="s">
        <v>79</v>
      </c>
      <c r="K93" s="378">
        <v>54789</v>
      </c>
      <c r="L93" s="420" t="s">
        <v>859</v>
      </c>
      <c r="M93" s="262" t="s">
        <v>860</v>
      </c>
      <c r="N93" s="335"/>
      <c r="O93" s="436">
        <f>Pending[[#This Row],[Power Plant Size (MW) or Share]]*0.593*9057*211.9*10^(-9)</f>
        <v>0</v>
      </c>
      <c r="P93" s="335">
        <f>Pending[[#This Row],[Annual Emissions (MMTCO2)]]*40</f>
        <v>0</v>
      </c>
      <c r="Q93" s="335">
        <v>1.4666666666666666</v>
      </c>
      <c r="R93" s="377"/>
      <c r="S93" s="438"/>
      <c r="T93" s="173"/>
    </row>
    <row r="94" spans="1:20" ht="71.7">
      <c r="A94" s="298" t="s">
        <v>160</v>
      </c>
      <c r="B94" s="353" t="s">
        <v>511</v>
      </c>
      <c r="C94" s="353" t="s">
        <v>464</v>
      </c>
      <c r="D94" s="499">
        <v>355126.59878676734</v>
      </c>
      <c r="E94" s="269" t="s">
        <v>558</v>
      </c>
      <c r="F94" s="298" t="s">
        <v>1577</v>
      </c>
      <c r="G94" s="346"/>
      <c r="H94" s="370" t="s">
        <v>557</v>
      </c>
      <c r="I94" s="180" t="s">
        <v>284</v>
      </c>
      <c r="J94" s="372" t="s">
        <v>79</v>
      </c>
      <c r="K94" s="378">
        <v>54789</v>
      </c>
      <c r="L94" s="420" t="s">
        <v>859</v>
      </c>
      <c r="M94" s="262" t="s">
        <v>789</v>
      </c>
      <c r="N94" s="335"/>
      <c r="O94" s="436">
        <f>Pending[[#This Row],[Power Plant Size (MW) or Share]]*0.593*9057*211.9*10^(-9)</f>
        <v>0</v>
      </c>
      <c r="P94" s="335">
        <f>Pending[[#This Row],[Annual Emissions (MMTCO2)]]*40</f>
        <v>0</v>
      </c>
      <c r="Q94" s="335">
        <v>1.4666666666666666</v>
      </c>
      <c r="R94" s="377"/>
      <c r="S94" s="438"/>
    </row>
    <row r="95" spans="1:20" s="2" customFormat="1" ht="51" customHeight="1">
      <c r="A95" s="298" t="s">
        <v>25</v>
      </c>
      <c r="B95" s="353" t="s">
        <v>511</v>
      </c>
      <c r="C95" s="353" t="s">
        <v>464</v>
      </c>
      <c r="D95" s="503">
        <v>321225.11348369229</v>
      </c>
      <c r="E95" s="269" t="s">
        <v>558</v>
      </c>
      <c r="F95" s="298" t="s">
        <v>1577</v>
      </c>
      <c r="G95" s="410"/>
      <c r="H95" s="370" t="s">
        <v>557</v>
      </c>
      <c r="I95" s="180" t="s">
        <v>284</v>
      </c>
      <c r="J95" s="372" t="s">
        <v>79</v>
      </c>
      <c r="K95" s="378">
        <v>54789</v>
      </c>
      <c r="L95" s="420" t="s">
        <v>859</v>
      </c>
      <c r="M95" s="262" t="s">
        <v>789</v>
      </c>
      <c r="N95" s="335"/>
      <c r="O95" s="436">
        <f>Pending[[#This Row],[Power Plant Size (MW) or Share]]*0.593*9057*211.9*10^(-9)</f>
        <v>0</v>
      </c>
      <c r="P95" s="335">
        <f>Pending[[#This Row],[Annual Emissions (MMTCO2)]]*40</f>
        <v>0</v>
      </c>
      <c r="Q95" s="335">
        <v>1.4666666666666666</v>
      </c>
      <c r="R95" s="377"/>
      <c r="S95" s="438"/>
    </row>
    <row r="96" spans="1:20" s="2" customFormat="1" ht="28.7">
      <c r="A96" s="269" t="s">
        <v>75</v>
      </c>
      <c r="B96" s="297" t="s">
        <v>34</v>
      </c>
      <c r="C96" s="297" t="s">
        <v>336</v>
      </c>
      <c r="D96" s="499">
        <f>300000/0.937</f>
        <v>320170.75773745996</v>
      </c>
      <c r="E96" s="269"/>
      <c r="F96" s="269" t="s">
        <v>1590</v>
      </c>
      <c r="G96" s="480"/>
      <c r="H96" s="370" t="s">
        <v>368</v>
      </c>
      <c r="I96" s="180" t="s">
        <v>40</v>
      </c>
      <c r="J96" s="372" t="s">
        <v>40</v>
      </c>
      <c r="K96" s="368">
        <v>54789</v>
      </c>
      <c r="L96" s="422" t="s">
        <v>383</v>
      </c>
      <c r="M96" s="262"/>
      <c r="N96" s="335"/>
      <c r="O96" s="436">
        <f>Pending[[#This Row],[Power Plant Size (MW) or Share]]*0.593*9057*211.9*10^(-9)</f>
        <v>0</v>
      </c>
      <c r="P96" s="335">
        <f>Pending[[#This Row],[Annual Emissions (MMTCO2)]]*40</f>
        <v>0</v>
      </c>
      <c r="Q96" s="335"/>
      <c r="R96" s="294"/>
      <c r="S96" s="442"/>
    </row>
    <row r="97" spans="1:25" s="2" customFormat="1" ht="51" customHeight="1">
      <c r="A97" s="298" t="s">
        <v>75</v>
      </c>
      <c r="B97" s="353" t="s">
        <v>511</v>
      </c>
      <c r="C97" s="353" t="s">
        <v>464</v>
      </c>
      <c r="D97" s="499">
        <v>266740.90553539456</v>
      </c>
      <c r="E97" s="269" t="s">
        <v>558</v>
      </c>
      <c r="F97" s="298" t="s">
        <v>1577</v>
      </c>
      <c r="G97" s="376" t="s">
        <v>789</v>
      </c>
      <c r="H97" s="370" t="s">
        <v>557</v>
      </c>
      <c r="I97" s="180" t="s">
        <v>284</v>
      </c>
      <c r="J97" s="372" t="s">
        <v>79</v>
      </c>
      <c r="K97" s="378">
        <v>54789</v>
      </c>
      <c r="L97" s="420" t="s">
        <v>859</v>
      </c>
      <c r="M97" s="262" t="s">
        <v>860</v>
      </c>
      <c r="N97" s="335"/>
      <c r="O97" s="436">
        <f>Pending[[#This Row],[Power Plant Size (MW) or Share]]*0.593*9057*211.9*10^(-9)</f>
        <v>0</v>
      </c>
      <c r="P97" s="335">
        <f>Pending[[#This Row],[Annual Emissions (MMTCO2)]]*40</f>
        <v>0</v>
      </c>
      <c r="Q97" s="335">
        <v>1.4666666666666666</v>
      </c>
      <c r="R97" s="377"/>
      <c r="S97" s="438"/>
    </row>
    <row r="98" spans="1:25" s="2" customFormat="1" ht="51" customHeight="1">
      <c r="A98" s="269" t="s">
        <v>1149</v>
      </c>
      <c r="B98" s="353" t="s">
        <v>509</v>
      </c>
      <c r="C98" s="353" t="s">
        <v>464</v>
      </c>
      <c r="D98" s="495">
        <v>249730.51330270301</v>
      </c>
      <c r="E98" s="375" t="s">
        <v>1303</v>
      </c>
      <c r="F98" s="269" t="s">
        <v>1623</v>
      </c>
      <c r="G98" s="376"/>
      <c r="H98" s="371" t="s">
        <v>575</v>
      </c>
      <c r="I98" s="171" t="s">
        <v>283</v>
      </c>
      <c r="J98" s="371" t="s">
        <v>26</v>
      </c>
      <c r="K98" s="368">
        <v>54789</v>
      </c>
      <c r="L98" s="425" t="s">
        <v>1603</v>
      </c>
      <c r="M98" s="262" t="s">
        <v>1302</v>
      </c>
      <c r="N98" s="336">
        <f>300/2/15</f>
        <v>10</v>
      </c>
      <c r="O98" s="436">
        <f>Pending[[#This Row],[Power Plant Size (MW) or Share]]*0.593*9057*211.9*10^(-9)</f>
        <v>1.1380727318999998E-2</v>
      </c>
      <c r="P98" s="335">
        <f>Pending[[#This Row],[Annual Emissions (MMTCO2)]]*40</f>
        <v>0.45522909275999995</v>
      </c>
      <c r="Q98" s="336"/>
      <c r="R98" s="294"/>
      <c r="S98" s="442"/>
    </row>
    <row r="99" spans="1:25" s="2" customFormat="1" ht="51" customHeight="1">
      <c r="A99" s="298" t="s">
        <v>33</v>
      </c>
      <c r="B99" s="353" t="s">
        <v>511</v>
      </c>
      <c r="C99" s="353" t="s">
        <v>464</v>
      </c>
      <c r="D99" s="499">
        <v>243039.61890717869</v>
      </c>
      <c r="E99" s="269" t="s">
        <v>558</v>
      </c>
      <c r="F99" s="298" t="s">
        <v>1577</v>
      </c>
      <c r="G99" s="376" t="s">
        <v>789</v>
      </c>
      <c r="H99" s="370" t="s">
        <v>557</v>
      </c>
      <c r="I99" s="180" t="s">
        <v>284</v>
      </c>
      <c r="J99" s="372" t="s">
        <v>79</v>
      </c>
      <c r="K99" s="378">
        <v>54789</v>
      </c>
      <c r="L99" s="420" t="s">
        <v>859</v>
      </c>
      <c r="M99" s="262" t="s">
        <v>860</v>
      </c>
      <c r="N99" s="335"/>
      <c r="O99" s="436">
        <f>Pending[[#This Row],[Power Plant Size (MW) or Share]]*0.593*9057*211.9*10^(-9)</f>
        <v>0</v>
      </c>
      <c r="P99" s="335">
        <f>Pending[[#This Row],[Annual Emissions (MMTCO2)]]*40</f>
        <v>0</v>
      </c>
      <c r="Q99" s="335">
        <v>1.4666666666666666</v>
      </c>
      <c r="R99" s="377"/>
      <c r="S99" s="438"/>
    </row>
    <row r="100" spans="1:25" s="2" customFormat="1" ht="51" customHeight="1">
      <c r="A100" s="298" t="s">
        <v>86</v>
      </c>
      <c r="B100" s="353" t="s">
        <v>511</v>
      </c>
      <c r="C100" s="353" t="s">
        <v>464</v>
      </c>
      <c r="D100" s="499">
        <v>157268.59060781746</v>
      </c>
      <c r="E100" s="269" t="s">
        <v>558</v>
      </c>
      <c r="F100" s="298" t="s">
        <v>1577</v>
      </c>
      <c r="G100" s="376" t="s">
        <v>789</v>
      </c>
      <c r="H100" s="370" t="s">
        <v>557</v>
      </c>
      <c r="I100" s="180" t="s">
        <v>284</v>
      </c>
      <c r="J100" s="372" t="s">
        <v>79</v>
      </c>
      <c r="K100" s="378">
        <v>54789</v>
      </c>
      <c r="L100" s="420" t="s">
        <v>859</v>
      </c>
      <c r="M100" s="262" t="s">
        <v>860</v>
      </c>
      <c r="N100" s="335"/>
      <c r="O100" s="436">
        <f>Pending[[#This Row],[Power Plant Size (MW) or Share]]*0.593*9057*211.9*10^(-9)</f>
        <v>0</v>
      </c>
      <c r="P100" s="335">
        <f>Pending[[#This Row],[Annual Emissions (MMTCO2)]]*40</f>
        <v>0</v>
      </c>
      <c r="Q100" s="335">
        <v>1.4666666666666666</v>
      </c>
      <c r="R100" s="377"/>
      <c r="S100" s="438"/>
    </row>
    <row r="101" spans="1:25" s="2" customFormat="1" ht="51" customHeight="1">
      <c r="A101" s="298" t="s">
        <v>190</v>
      </c>
      <c r="B101" s="353" t="s">
        <v>511</v>
      </c>
      <c r="C101" s="353" t="s">
        <v>464</v>
      </c>
      <c r="D101" s="503">
        <v>113586.65552447815</v>
      </c>
      <c r="E101" s="269" t="s">
        <v>558</v>
      </c>
      <c r="F101" s="298" t="s">
        <v>1577</v>
      </c>
      <c r="G101" s="376" t="s">
        <v>789</v>
      </c>
      <c r="H101" s="370" t="s">
        <v>557</v>
      </c>
      <c r="I101" s="180" t="s">
        <v>284</v>
      </c>
      <c r="J101" s="372" t="s">
        <v>79</v>
      </c>
      <c r="K101" s="378">
        <v>54789</v>
      </c>
      <c r="L101" s="420" t="s">
        <v>859</v>
      </c>
      <c r="M101" s="262" t="s">
        <v>860</v>
      </c>
      <c r="N101" s="335"/>
      <c r="O101" s="436">
        <f>Pending[[#This Row],[Power Plant Size (MW) or Share]]*0.593*9057*211.9*10^(-9)</f>
        <v>0</v>
      </c>
      <c r="P101" s="335">
        <f>Pending[[#This Row],[Annual Emissions (MMTCO2)]]*40</f>
        <v>0</v>
      </c>
      <c r="Q101" s="335">
        <v>1.4666666666666666</v>
      </c>
      <c r="R101" s="377"/>
      <c r="S101" s="438"/>
    </row>
    <row r="102" spans="1:25" s="2" customFormat="1" ht="51" customHeight="1">
      <c r="A102" s="269" t="s">
        <v>239</v>
      </c>
      <c r="B102" s="353" t="s">
        <v>511</v>
      </c>
      <c r="C102" s="353" t="s">
        <v>464</v>
      </c>
      <c r="D102" s="499">
        <v>74496.913598235129</v>
      </c>
      <c r="E102" s="269" t="s">
        <v>558</v>
      </c>
      <c r="F102" s="298" t="s">
        <v>1577</v>
      </c>
      <c r="G102" s="376" t="s">
        <v>789</v>
      </c>
      <c r="H102" s="370" t="s">
        <v>557</v>
      </c>
      <c r="I102" s="180" t="s">
        <v>284</v>
      </c>
      <c r="J102" s="372" t="s">
        <v>79</v>
      </c>
      <c r="K102" s="378">
        <v>54789</v>
      </c>
      <c r="L102" s="420" t="s">
        <v>859</v>
      </c>
      <c r="M102" s="262" t="s">
        <v>860</v>
      </c>
      <c r="N102" s="335"/>
      <c r="O102" s="436">
        <f>Pending[[#This Row],[Power Plant Size (MW) or Share]]*0.593*9057*211.9*10^(-9)</f>
        <v>0</v>
      </c>
      <c r="P102" s="335">
        <f>Pending[[#This Row],[Annual Emissions (MMTCO2)]]*40</f>
        <v>0</v>
      </c>
      <c r="Q102" s="335">
        <v>1.4666666666666666</v>
      </c>
      <c r="R102" s="377"/>
      <c r="S102" s="438"/>
    </row>
    <row r="103" spans="1:25" s="17" customFormat="1" ht="51" customHeight="1">
      <c r="A103" s="298" t="s">
        <v>1309</v>
      </c>
      <c r="B103" s="353" t="s">
        <v>511</v>
      </c>
      <c r="C103" s="353" t="s">
        <v>464</v>
      </c>
      <c r="D103" s="503">
        <v>30841.024985682147</v>
      </c>
      <c r="E103" s="269" t="s">
        <v>558</v>
      </c>
      <c r="F103" s="298" t="s">
        <v>1577</v>
      </c>
      <c r="G103" s="346"/>
      <c r="H103" s="370" t="s">
        <v>557</v>
      </c>
      <c r="I103" s="180" t="s">
        <v>284</v>
      </c>
      <c r="J103" s="372" t="s">
        <v>79</v>
      </c>
      <c r="K103" s="378">
        <v>54789</v>
      </c>
      <c r="L103" s="420" t="s">
        <v>859</v>
      </c>
      <c r="M103" s="262" t="s">
        <v>789</v>
      </c>
      <c r="N103" s="335"/>
      <c r="O103" s="436">
        <f>Pending[[#This Row],[Power Plant Size (MW) or Share]]*0.593*9057*211.9*10^(-9)</f>
        <v>0</v>
      </c>
      <c r="P103" s="335">
        <f>Pending[[#This Row],[Annual Emissions (MMTCO2)]]*40</f>
        <v>0</v>
      </c>
      <c r="Q103" s="335">
        <v>1.4666666666666666</v>
      </c>
      <c r="R103" s="377"/>
      <c r="S103" s="438"/>
      <c r="T103" s="148"/>
      <c r="U103" s="148"/>
      <c r="V103" s="148"/>
      <c r="W103" s="148"/>
      <c r="X103" s="148"/>
      <c r="Y103" s="148"/>
    </row>
    <row r="104" spans="1:25" s="17" customFormat="1" ht="51" customHeight="1">
      <c r="A104" s="298" t="s">
        <v>473</v>
      </c>
      <c r="B104" s="353" t="s">
        <v>511</v>
      </c>
      <c r="C104" s="353" t="s">
        <v>464</v>
      </c>
      <c r="D104" s="499">
        <v>24454.630706343367</v>
      </c>
      <c r="E104" s="269" t="s">
        <v>558</v>
      </c>
      <c r="F104" s="298" t="s">
        <v>1577</v>
      </c>
      <c r="G104" s="376" t="s">
        <v>789</v>
      </c>
      <c r="H104" s="370" t="s">
        <v>557</v>
      </c>
      <c r="I104" s="180" t="s">
        <v>284</v>
      </c>
      <c r="J104" s="372" t="s">
        <v>79</v>
      </c>
      <c r="K104" s="378">
        <v>54789</v>
      </c>
      <c r="L104" s="420" t="s">
        <v>859</v>
      </c>
      <c r="M104" s="262" t="s">
        <v>860</v>
      </c>
      <c r="N104" s="335"/>
      <c r="O104" s="436">
        <f>Pending[[#This Row],[Power Plant Size (MW) or Share]]*0.593*9057*211.9*10^(-9)</f>
        <v>0</v>
      </c>
      <c r="P104" s="335">
        <f>Pending[[#This Row],[Annual Emissions (MMTCO2)]]*40</f>
        <v>0</v>
      </c>
      <c r="Q104" s="335">
        <v>1.4666666666666666</v>
      </c>
      <c r="R104" s="377"/>
      <c r="S104" s="438"/>
      <c r="T104" s="148"/>
      <c r="U104" s="148"/>
      <c r="V104" s="148"/>
      <c r="W104" s="148"/>
      <c r="X104" s="148"/>
      <c r="Y104" s="148"/>
    </row>
    <row r="105" spans="1:25" s="17" customFormat="1" ht="51" customHeight="1">
      <c r="A105" s="298" t="s">
        <v>36</v>
      </c>
      <c r="B105" s="353" t="s">
        <v>511</v>
      </c>
      <c r="C105" s="353" t="s">
        <v>464</v>
      </c>
      <c r="D105" s="503">
        <v>21950.16236150463</v>
      </c>
      <c r="E105" s="269" t="s">
        <v>558</v>
      </c>
      <c r="F105" s="298" t="s">
        <v>1577</v>
      </c>
      <c r="G105" s="376" t="s">
        <v>789</v>
      </c>
      <c r="H105" s="370" t="s">
        <v>557</v>
      </c>
      <c r="I105" s="180" t="s">
        <v>284</v>
      </c>
      <c r="J105" s="372" t="s">
        <v>79</v>
      </c>
      <c r="K105" s="378">
        <v>54789</v>
      </c>
      <c r="L105" s="420" t="s">
        <v>859</v>
      </c>
      <c r="M105" s="262" t="s">
        <v>860</v>
      </c>
      <c r="N105" s="335"/>
      <c r="O105" s="436">
        <f>Pending[[#This Row],[Power Plant Size (MW) or Share]]*0.593*9057*211.9*10^(-9)</f>
        <v>0</v>
      </c>
      <c r="P105" s="335">
        <f>Pending[[#This Row],[Annual Emissions (MMTCO2)]]*40</f>
        <v>0</v>
      </c>
      <c r="Q105" s="335">
        <v>1.4666666666666666</v>
      </c>
      <c r="R105" s="377"/>
      <c r="S105" s="438"/>
      <c r="T105" s="148"/>
      <c r="U105" s="148"/>
      <c r="V105" s="148"/>
      <c r="W105" s="148"/>
      <c r="X105" s="148"/>
      <c r="Y105" s="148"/>
    </row>
    <row r="106" spans="1:25" s="17" customFormat="1" ht="51" customHeight="1">
      <c r="A106" s="298" t="s">
        <v>65</v>
      </c>
      <c r="B106" s="353" t="s">
        <v>511</v>
      </c>
      <c r="C106" s="353" t="s">
        <v>464</v>
      </c>
      <c r="D106" s="499">
        <v>16748.882502943539</v>
      </c>
      <c r="E106" s="269" t="s">
        <v>558</v>
      </c>
      <c r="F106" s="298" t="s">
        <v>1577</v>
      </c>
      <c r="G106" s="376" t="s">
        <v>789</v>
      </c>
      <c r="H106" s="370" t="s">
        <v>557</v>
      </c>
      <c r="I106" s="180" t="s">
        <v>284</v>
      </c>
      <c r="J106" s="372" t="s">
        <v>79</v>
      </c>
      <c r="K106" s="378">
        <v>54789</v>
      </c>
      <c r="L106" s="420" t="s">
        <v>859</v>
      </c>
      <c r="M106" s="262" t="s">
        <v>860</v>
      </c>
      <c r="N106" s="335"/>
      <c r="O106" s="436">
        <f>Pending[[#This Row],[Power Plant Size (MW) or Share]]*0.593*9057*211.9*10^(-9)</f>
        <v>0</v>
      </c>
      <c r="P106" s="335">
        <f>Pending[[#This Row],[Annual Emissions (MMTCO2)]]*40</f>
        <v>0</v>
      </c>
      <c r="Q106" s="335">
        <v>1.4666666666666666</v>
      </c>
      <c r="R106" s="377"/>
      <c r="S106" s="438"/>
      <c r="T106" s="148"/>
      <c r="U106" s="148"/>
      <c r="V106" s="148"/>
      <c r="W106" s="148"/>
      <c r="X106" s="148"/>
      <c r="Y106" s="148"/>
    </row>
    <row r="107" spans="1:25" s="2" customFormat="1" ht="71.7">
      <c r="A107" s="298" t="s">
        <v>1253</v>
      </c>
      <c r="B107" s="353" t="s">
        <v>511</v>
      </c>
      <c r="C107" s="353" t="s">
        <v>464</v>
      </c>
      <c r="D107" s="499">
        <v>13131.428425658467</v>
      </c>
      <c r="E107" s="269" t="s">
        <v>558</v>
      </c>
      <c r="F107" s="298" t="s">
        <v>1577</v>
      </c>
      <c r="G107" s="346"/>
      <c r="H107" s="370" t="s">
        <v>557</v>
      </c>
      <c r="I107" s="180" t="s">
        <v>284</v>
      </c>
      <c r="J107" s="372" t="s">
        <v>79</v>
      </c>
      <c r="K107" s="378">
        <v>54789</v>
      </c>
      <c r="L107" s="420" t="s">
        <v>859</v>
      </c>
      <c r="M107" s="262" t="s">
        <v>789</v>
      </c>
      <c r="N107" s="335"/>
      <c r="O107" s="436">
        <f>Pending[[#This Row],[Power Plant Size (MW) or Share]]*0.593*9057*211.9*10^(-9)</f>
        <v>0</v>
      </c>
      <c r="P107" s="335">
        <f>Pending[[#This Row],[Annual Emissions (MMTCO2)]]*40</f>
        <v>0</v>
      </c>
      <c r="Q107" s="335">
        <v>1.4666666666666666</v>
      </c>
      <c r="R107" s="377"/>
      <c r="S107" s="438"/>
      <c r="T107" s="185"/>
    </row>
    <row r="108" spans="1:25" s="17" customFormat="1" ht="51" customHeight="1">
      <c r="A108" s="298" t="s">
        <v>1149</v>
      </c>
      <c r="B108" s="353" t="s">
        <v>511</v>
      </c>
      <c r="C108" s="353" t="s">
        <v>464</v>
      </c>
      <c r="D108" s="503">
        <v>6483.567651118522</v>
      </c>
      <c r="E108" s="269" t="s">
        <v>558</v>
      </c>
      <c r="F108" s="298" t="s">
        <v>1577</v>
      </c>
      <c r="G108" s="376" t="s">
        <v>789</v>
      </c>
      <c r="H108" s="370" t="s">
        <v>557</v>
      </c>
      <c r="I108" s="180" t="s">
        <v>284</v>
      </c>
      <c r="J108" s="372" t="s">
        <v>79</v>
      </c>
      <c r="K108" s="368">
        <v>54789</v>
      </c>
      <c r="L108" s="420" t="s">
        <v>859</v>
      </c>
      <c r="M108" s="262" t="s">
        <v>860</v>
      </c>
      <c r="N108" s="335"/>
      <c r="O108" s="436">
        <f>Pending[[#This Row],[Power Plant Size (MW) or Share]]*0.593*9057*211.9*10^(-9)</f>
        <v>0</v>
      </c>
      <c r="P108" s="335">
        <f>Pending[[#This Row],[Annual Emissions (MMTCO2)]]*40</f>
        <v>0</v>
      </c>
      <c r="Q108" s="335">
        <v>1.4666666666666666</v>
      </c>
      <c r="R108" s="377"/>
      <c r="S108" s="438"/>
    </row>
    <row r="109" spans="1:25" s="17" customFormat="1" ht="51" customHeight="1">
      <c r="A109" s="298" t="s">
        <v>20</v>
      </c>
      <c r="B109" s="353" t="s">
        <v>511</v>
      </c>
      <c r="C109" s="353" t="s">
        <v>464</v>
      </c>
      <c r="D109" s="499">
        <v>1494.5091960406137</v>
      </c>
      <c r="E109" s="269" t="s">
        <v>558</v>
      </c>
      <c r="F109" s="298" t="s">
        <v>1577</v>
      </c>
      <c r="G109" s="376" t="s">
        <v>789</v>
      </c>
      <c r="H109" s="370" t="s">
        <v>557</v>
      </c>
      <c r="I109" s="180" t="s">
        <v>284</v>
      </c>
      <c r="J109" s="372" t="s">
        <v>79</v>
      </c>
      <c r="K109" s="378">
        <v>54789</v>
      </c>
      <c r="L109" s="420" t="s">
        <v>859</v>
      </c>
      <c r="M109" s="262" t="s">
        <v>860</v>
      </c>
      <c r="N109" s="335"/>
      <c r="O109" s="436">
        <f>Pending[[#This Row],[Power Plant Size (MW) or Share]]*0.593*9057*211.9*10^(-9)</f>
        <v>0</v>
      </c>
      <c r="P109" s="335">
        <f>Pending[[#This Row],[Annual Emissions (MMTCO2)]]*40</f>
        <v>0</v>
      </c>
      <c r="Q109" s="335">
        <v>1.4666666666666666</v>
      </c>
      <c r="R109" s="377"/>
      <c r="S109" s="438"/>
    </row>
    <row r="110" spans="1:25" s="17" customFormat="1" ht="51" customHeight="1">
      <c r="A110" s="269" t="s">
        <v>160</v>
      </c>
      <c r="B110" s="297" t="s">
        <v>87</v>
      </c>
      <c r="C110" s="297" t="s">
        <v>336</v>
      </c>
      <c r="D110" s="499">
        <v>0</v>
      </c>
      <c r="E110" s="269" t="s">
        <v>149</v>
      </c>
      <c r="F110" s="269" t="s">
        <v>1624</v>
      </c>
      <c r="G110" s="346"/>
      <c r="H110" s="370" t="s">
        <v>65</v>
      </c>
      <c r="I110" s="171" t="s">
        <v>283</v>
      </c>
      <c r="J110" s="372" t="s">
        <v>26</v>
      </c>
      <c r="K110" s="368">
        <v>54789</v>
      </c>
      <c r="L110" s="422"/>
      <c r="M110" s="433"/>
      <c r="N110" s="335">
        <v>1600</v>
      </c>
      <c r="O110" s="436">
        <f>Pending[[#This Row],[Power Plant Size (MW) or Share]]*0.593*9057*211.9*10^(-9)</f>
        <v>1.82091637104</v>
      </c>
      <c r="P110" s="335">
        <f>Pending[[#This Row],[Annual Emissions (MMTCO2)]]*40</f>
        <v>72.836654841599994</v>
      </c>
      <c r="Q110" s="335"/>
      <c r="R110" s="294"/>
      <c r="S110" s="442"/>
    </row>
    <row r="111" spans="1:25" s="17" customFormat="1" ht="51" customHeight="1">
      <c r="A111" s="269" t="s">
        <v>160</v>
      </c>
      <c r="B111" s="297" t="s">
        <v>87</v>
      </c>
      <c r="C111" s="297" t="s">
        <v>336</v>
      </c>
      <c r="D111" s="499">
        <v>0</v>
      </c>
      <c r="E111" s="269" t="s">
        <v>316</v>
      </c>
      <c r="F111" s="269" t="s">
        <v>1568</v>
      </c>
      <c r="G111" s="346"/>
      <c r="H111" s="370" t="s">
        <v>65</v>
      </c>
      <c r="I111" s="171" t="s">
        <v>283</v>
      </c>
      <c r="J111" s="372" t="s">
        <v>248</v>
      </c>
      <c r="K111" s="368">
        <v>54789</v>
      </c>
      <c r="L111" s="422"/>
      <c r="M111" s="262" t="s">
        <v>319</v>
      </c>
      <c r="N111" s="335">
        <v>1320</v>
      </c>
      <c r="O111" s="436">
        <f>Pending[[#This Row],[Power Plant Size (MW) or Share]]*0.593*9057*211.9*10^(-9)</f>
        <v>1.5022560061080001</v>
      </c>
      <c r="P111" s="335">
        <f>Pending[[#This Row],[Annual Emissions (MMTCO2)]]*40</f>
        <v>60.090240244320007</v>
      </c>
      <c r="Q111" s="335"/>
      <c r="R111" s="294"/>
      <c r="S111" s="442"/>
    </row>
    <row r="112" spans="1:25" s="17" customFormat="1" ht="51" customHeight="1">
      <c r="A112" s="269" t="s">
        <v>160</v>
      </c>
      <c r="B112" s="297" t="s">
        <v>87</v>
      </c>
      <c r="C112" s="297" t="s">
        <v>336</v>
      </c>
      <c r="D112" s="499">
        <v>0</v>
      </c>
      <c r="E112" s="269" t="s">
        <v>317</v>
      </c>
      <c r="F112" s="269" t="s">
        <v>1569</v>
      </c>
      <c r="G112" s="346"/>
      <c r="H112" s="370" t="s">
        <v>318</v>
      </c>
      <c r="I112" s="171" t="s">
        <v>283</v>
      </c>
      <c r="J112" s="372" t="s">
        <v>26</v>
      </c>
      <c r="K112" s="368">
        <v>54789</v>
      </c>
      <c r="L112" s="422" t="s">
        <v>1743</v>
      </c>
      <c r="M112" s="433"/>
      <c r="N112" s="335">
        <v>2000</v>
      </c>
      <c r="O112" s="436">
        <f>Pending[[#This Row],[Power Plant Size (MW) or Share]]*0.593*9057*211.9*10^(-9)</f>
        <v>2.2761454638000003</v>
      </c>
      <c r="P112" s="335">
        <f>Pending[[#This Row],[Annual Emissions (MMTCO2)]]*40</f>
        <v>91.045818552000014</v>
      </c>
      <c r="Q112" s="335"/>
      <c r="R112" s="296"/>
      <c r="S112" s="438"/>
    </row>
    <row r="113" spans="1:26" s="17" customFormat="1" ht="51" customHeight="1">
      <c r="A113" s="398" t="s">
        <v>160</v>
      </c>
      <c r="B113" s="411" t="s">
        <v>87</v>
      </c>
      <c r="C113" s="353" t="s">
        <v>336</v>
      </c>
      <c r="D113" s="504">
        <v>0</v>
      </c>
      <c r="E113" s="298" t="s">
        <v>1398</v>
      </c>
      <c r="F113" s="298" t="s">
        <v>1675</v>
      </c>
      <c r="G113" s="346" t="s">
        <v>1673</v>
      </c>
      <c r="H113" s="403" t="s">
        <v>201</v>
      </c>
      <c r="I113" s="171" t="s">
        <v>283</v>
      </c>
      <c r="J113" s="394" t="s">
        <v>26</v>
      </c>
      <c r="K113" s="368">
        <v>54789</v>
      </c>
      <c r="L113" s="420" t="s">
        <v>1674</v>
      </c>
      <c r="M113" s="286" t="s">
        <v>1397</v>
      </c>
      <c r="N113" s="336">
        <f>463.5/4</f>
        <v>115.875</v>
      </c>
      <c r="O113" s="436">
        <f>Pending[[#This Row],[Power Plant Size (MW) or Share]]*0.593*9057*211.9*10^(-9)</f>
        <v>0.1318741778089125</v>
      </c>
      <c r="P113" s="335">
        <f>Pending[[#This Row],[Annual Emissions (MMTCO2)]]*40</f>
        <v>5.2749671123565003</v>
      </c>
      <c r="Q113" s="336"/>
      <c r="R113" s="404"/>
      <c r="S113" s="444"/>
    </row>
    <row r="114" spans="1:26" s="17" customFormat="1" ht="51" customHeight="1">
      <c r="A114" s="269" t="s">
        <v>160</v>
      </c>
      <c r="B114" s="413" t="s">
        <v>256</v>
      </c>
      <c r="C114" s="297" t="s">
        <v>337</v>
      </c>
      <c r="D114" s="499">
        <v>0</v>
      </c>
      <c r="E114" s="269"/>
      <c r="F114" s="269" t="s">
        <v>1619</v>
      </c>
      <c r="G114" s="346"/>
      <c r="H114" s="370" t="s">
        <v>63</v>
      </c>
      <c r="I114" s="171" t="s">
        <v>283</v>
      </c>
      <c r="J114" s="372" t="s">
        <v>283</v>
      </c>
      <c r="K114" s="368">
        <v>54789</v>
      </c>
      <c r="L114" s="422" t="s">
        <v>1745</v>
      </c>
      <c r="M114" s="429"/>
      <c r="N114" s="335">
        <v>1200</v>
      </c>
      <c r="O114" s="436">
        <f>Pending[[#This Row],[Power Plant Size (MW) or Share]]*0.593*9057*211.9*10^(-9)</f>
        <v>1.36568727828</v>
      </c>
      <c r="P114" s="335">
        <f>Pending[[#This Row],[Annual Emissions (MMTCO2)]]*40</f>
        <v>54.627491131200003</v>
      </c>
      <c r="Q114" s="335"/>
      <c r="R114" s="294"/>
      <c r="S114" s="442"/>
    </row>
    <row r="115" spans="1:26" s="17" customFormat="1" ht="51" customHeight="1">
      <c r="A115" s="269" t="s">
        <v>160</v>
      </c>
      <c r="B115" s="413" t="s">
        <v>256</v>
      </c>
      <c r="C115" s="297" t="s">
        <v>337</v>
      </c>
      <c r="D115" s="499">
        <v>0</v>
      </c>
      <c r="E115" s="269"/>
      <c r="F115" s="269" t="s">
        <v>1620</v>
      </c>
      <c r="G115" s="346"/>
      <c r="H115" s="370" t="s">
        <v>65</v>
      </c>
      <c r="I115" s="171" t="s">
        <v>283</v>
      </c>
      <c r="J115" s="372" t="s">
        <v>283</v>
      </c>
      <c r="K115" s="368">
        <v>54789</v>
      </c>
      <c r="L115" s="422"/>
      <c r="M115" s="429"/>
      <c r="N115" s="335">
        <v>660</v>
      </c>
      <c r="O115" s="436">
        <f>Pending[[#This Row],[Power Plant Size (MW) or Share]]*0.593*9057*211.9*10^(-9)</f>
        <v>0.75112800305400007</v>
      </c>
      <c r="P115" s="335">
        <f>Pending[[#This Row],[Annual Emissions (MMTCO2)]]*40</f>
        <v>30.045120122160004</v>
      </c>
      <c r="Q115" s="335"/>
      <c r="R115" s="294"/>
      <c r="S115" s="442"/>
    </row>
    <row r="116" spans="1:26" s="17" customFormat="1" ht="51" customHeight="1">
      <c r="A116" s="269" t="s">
        <v>160</v>
      </c>
      <c r="B116" s="413" t="s">
        <v>256</v>
      </c>
      <c r="C116" s="297" t="s">
        <v>337</v>
      </c>
      <c r="D116" s="499">
        <v>0</v>
      </c>
      <c r="E116" s="269"/>
      <c r="F116" s="269" t="s">
        <v>1627</v>
      </c>
      <c r="G116" s="346"/>
      <c r="H116" s="370" t="s">
        <v>85</v>
      </c>
      <c r="I116" s="171" t="s">
        <v>283</v>
      </c>
      <c r="J116" s="372" t="s">
        <v>283</v>
      </c>
      <c r="K116" s="368">
        <v>54789</v>
      </c>
      <c r="L116" s="422"/>
      <c r="M116" s="380"/>
      <c r="N116" s="335">
        <v>1000</v>
      </c>
      <c r="O116" s="436">
        <f>Pending[[#This Row],[Power Plant Size (MW) or Share]]*0.593*9057*211.9*10^(-9)</f>
        <v>1.1380727319000001</v>
      </c>
      <c r="P116" s="335">
        <f>Pending[[#This Row],[Annual Emissions (MMTCO2)]]*40</f>
        <v>45.522909276000007</v>
      </c>
      <c r="Q116" s="335"/>
      <c r="R116" s="294"/>
      <c r="S116" s="442"/>
    </row>
    <row r="117" spans="1:26" s="17" customFormat="1" ht="51" customHeight="1">
      <c r="A117" s="269" t="s">
        <v>160</v>
      </c>
      <c r="B117" s="413" t="s">
        <v>256</v>
      </c>
      <c r="C117" s="297" t="s">
        <v>337</v>
      </c>
      <c r="D117" s="499">
        <v>0</v>
      </c>
      <c r="E117" s="269"/>
      <c r="F117" s="269" t="s">
        <v>1594</v>
      </c>
      <c r="G117" s="346"/>
      <c r="H117" s="370" t="s">
        <v>63</v>
      </c>
      <c r="I117" s="171" t="s">
        <v>283</v>
      </c>
      <c r="J117" s="372" t="s">
        <v>283</v>
      </c>
      <c r="K117" s="368">
        <v>54789</v>
      </c>
      <c r="L117" s="422"/>
      <c r="M117" s="429"/>
      <c r="N117" s="335">
        <v>1200</v>
      </c>
      <c r="O117" s="436">
        <f>Pending[[#This Row],[Power Plant Size (MW) or Share]]*0.593*9057*211.9*10^(-9)</f>
        <v>1.36568727828</v>
      </c>
      <c r="P117" s="335">
        <f>Pending[[#This Row],[Annual Emissions (MMTCO2)]]*40</f>
        <v>54.627491131200003</v>
      </c>
      <c r="Q117" s="335"/>
      <c r="R117" s="294"/>
      <c r="S117" s="442"/>
    </row>
    <row r="118" spans="1:26" s="17" customFormat="1" ht="51" customHeight="1">
      <c r="A118" s="269" t="s">
        <v>160</v>
      </c>
      <c r="B118" s="297" t="s">
        <v>161</v>
      </c>
      <c r="C118" s="297" t="s">
        <v>336</v>
      </c>
      <c r="D118" s="499">
        <v>0</v>
      </c>
      <c r="E118" s="269" t="s">
        <v>1436</v>
      </c>
      <c r="F118" s="269" t="s">
        <v>1676</v>
      </c>
      <c r="G118" s="346" t="s">
        <v>1677</v>
      </c>
      <c r="H118" s="370" t="s">
        <v>63</v>
      </c>
      <c r="I118" s="171" t="s">
        <v>283</v>
      </c>
      <c r="J118" s="372" t="s">
        <v>283</v>
      </c>
      <c r="K118" s="368">
        <v>54789</v>
      </c>
      <c r="L118" s="422" t="s">
        <v>645</v>
      </c>
      <c r="M118" s="262" t="s">
        <v>1437</v>
      </c>
      <c r="N118" s="335">
        <f>600/3</f>
        <v>200</v>
      </c>
      <c r="O118" s="436">
        <f>Pending[[#This Row],[Power Plant Size (MW) or Share]]*0.593*9057*211.9*10^(-9)</f>
        <v>0.22761454638</v>
      </c>
      <c r="P118" s="335">
        <f>Pending[[#This Row],[Annual Emissions (MMTCO2)]]*40</f>
        <v>9.1045818551999993</v>
      </c>
      <c r="Q118" s="335"/>
      <c r="R118" s="294"/>
      <c r="S118" s="442"/>
    </row>
    <row r="119" spans="1:26" s="17" customFormat="1" ht="51" customHeight="1">
      <c r="A119" s="269" t="s">
        <v>160</v>
      </c>
      <c r="B119" s="297" t="s">
        <v>161</v>
      </c>
      <c r="C119" s="297" t="s">
        <v>336</v>
      </c>
      <c r="D119" s="499">
        <v>0</v>
      </c>
      <c r="E119" s="269"/>
      <c r="F119" s="269" t="s">
        <v>1624</v>
      </c>
      <c r="G119" s="346"/>
      <c r="H119" s="370" t="s">
        <v>65</v>
      </c>
      <c r="I119" s="171" t="s">
        <v>283</v>
      </c>
      <c r="J119" s="372" t="s">
        <v>283</v>
      </c>
      <c r="K119" s="368">
        <v>54789</v>
      </c>
      <c r="L119" s="422" t="s">
        <v>647</v>
      </c>
      <c r="M119" s="380"/>
      <c r="N119" s="335">
        <v>1600</v>
      </c>
      <c r="O119" s="436">
        <f>Pending[[#This Row],[Power Plant Size (MW) or Share]]*0.593*9057*211.9*10^(-9)</f>
        <v>1.82091637104</v>
      </c>
      <c r="P119" s="335">
        <f>Pending[[#This Row],[Annual Emissions (MMTCO2)]]*40</f>
        <v>72.836654841599994</v>
      </c>
      <c r="Q119" s="335"/>
      <c r="R119" s="296"/>
      <c r="S119" s="438"/>
    </row>
    <row r="120" spans="1:26" ht="51" customHeight="1">
      <c r="A120" s="269" t="s">
        <v>160</v>
      </c>
      <c r="B120" s="297" t="s">
        <v>161</v>
      </c>
      <c r="C120" s="297" t="s">
        <v>336</v>
      </c>
      <c r="D120" s="499">
        <v>0</v>
      </c>
      <c r="E120" s="269"/>
      <c r="F120" s="269" t="s">
        <v>1568</v>
      </c>
      <c r="G120" s="346"/>
      <c r="H120" s="370" t="s">
        <v>65</v>
      </c>
      <c r="I120" s="171" t="s">
        <v>283</v>
      </c>
      <c r="J120" s="372" t="s">
        <v>283</v>
      </c>
      <c r="K120" s="368">
        <v>54789</v>
      </c>
      <c r="L120" s="422" t="s">
        <v>649</v>
      </c>
      <c r="M120" s="262" t="s">
        <v>646</v>
      </c>
      <c r="N120" s="335">
        <v>1320</v>
      </c>
      <c r="O120" s="436">
        <f>Pending[[#This Row],[Power Plant Size (MW) or Share]]*0.593*9057*211.9*10^(-9)</f>
        <v>1.5022560061080001</v>
      </c>
      <c r="P120" s="335">
        <f>Pending[[#This Row],[Annual Emissions (MMTCO2)]]*40</f>
        <v>60.090240244320007</v>
      </c>
      <c r="Q120" s="335"/>
      <c r="R120" s="296"/>
      <c r="S120" s="438"/>
    </row>
    <row r="121" spans="1:26" s="17" customFormat="1" ht="28.7">
      <c r="A121" s="269" t="s">
        <v>160</v>
      </c>
      <c r="B121" s="297" t="s">
        <v>161</v>
      </c>
      <c r="C121" s="297" t="s">
        <v>336</v>
      </c>
      <c r="D121" s="499">
        <v>0</v>
      </c>
      <c r="E121" s="269"/>
      <c r="F121" s="298" t="s">
        <v>1675</v>
      </c>
      <c r="G121" s="346" t="s">
        <v>1673</v>
      </c>
      <c r="H121" s="370" t="s">
        <v>201</v>
      </c>
      <c r="I121" s="171" t="s">
        <v>283</v>
      </c>
      <c r="J121" s="372" t="s">
        <v>283</v>
      </c>
      <c r="K121" s="368">
        <v>54789</v>
      </c>
      <c r="L121" s="422" t="s">
        <v>648</v>
      </c>
      <c r="M121" s="435" t="s">
        <v>1397</v>
      </c>
      <c r="N121" s="335">
        <v>450</v>
      </c>
      <c r="O121" s="436">
        <f>Pending[[#This Row],[Power Plant Size (MW) or Share]]*0.593*9057*211.9*10^(-9)</f>
        <v>0.51213272935499998</v>
      </c>
      <c r="P121" s="335">
        <f>Pending[[#This Row],[Annual Emissions (MMTCO2)]]*40</f>
        <v>20.485309174199998</v>
      </c>
      <c r="Q121" s="335"/>
      <c r="R121" s="296"/>
      <c r="S121" s="438"/>
      <c r="T121" s="179"/>
      <c r="U121" s="148"/>
      <c r="V121" s="148"/>
      <c r="W121" s="148"/>
      <c r="X121" s="148"/>
      <c r="Y121" s="148"/>
      <c r="Z121" s="148"/>
    </row>
    <row r="122" spans="1:26" ht="51" customHeight="1">
      <c r="A122" s="380" t="s">
        <v>464</v>
      </c>
      <c r="B122" s="353" t="s">
        <v>519</v>
      </c>
      <c r="C122" s="353" t="s">
        <v>464</v>
      </c>
      <c r="D122" s="499">
        <v>0</v>
      </c>
      <c r="E122" s="298" t="s">
        <v>1398</v>
      </c>
      <c r="F122" s="298" t="s">
        <v>1675</v>
      </c>
      <c r="G122" s="346" t="s">
        <v>1673</v>
      </c>
      <c r="H122" s="403" t="s">
        <v>201</v>
      </c>
      <c r="I122" s="171" t="s">
        <v>283</v>
      </c>
      <c r="J122" s="394" t="s">
        <v>26</v>
      </c>
      <c r="K122" s="368">
        <v>54789</v>
      </c>
      <c r="L122" s="420" t="s">
        <v>1674</v>
      </c>
      <c r="M122" s="435" t="s">
        <v>1397</v>
      </c>
      <c r="N122" s="336">
        <f>463.5/4</f>
        <v>115.875</v>
      </c>
      <c r="O122" s="436">
        <f>Pending[[#This Row],[Power Plant Size (MW) or Share]]*0.593*9057*211.9*10^(-9)</f>
        <v>0.1318741778089125</v>
      </c>
      <c r="P122" s="335">
        <f>Pending[[#This Row],[Annual Emissions (MMTCO2)]]*40</f>
        <v>5.2749671123565003</v>
      </c>
      <c r="Q122" s="336"/>
      <c r="R122" s="404"/>
      <c r="S122" s="444"/>
    </row>
    <row r="123" spans="1:26" ht="51" customHeight="1">
      <c r="A123" s="380" t="s">
        <v>464</v>
      </c>
      <c r="B123" s="353" t="s">
        <v>559</v>
      </c>
      <c r="C123" s="353" t="s">
        <v>464</v>
      </c>
      <c r="D123" s="499">
        <v>0</v>
      </c>
      <c r="E123" s="298" t="s">
        <v>1398</v>
      </c>
      <c r="F123" s="298" t="s">
        <v>1675</v>
      </c>
      <c r="G123" s="346" t="s">
        <v>1673</v>
      </c>
      <c r="H123" s="403" t="s">
        <v>201</v>
      </c>
      <c r="I123" s="171" t="s">
        <v>283</v>
      </c>
      <c r="J123" s="394" t="s">
        <v>26</v>
      </c>
      <c r="K123" s="368">
        <v>54789</v>
      </c>
      <c r="L123" s="420" t="s">
        <v>1697</v>
      </c>
      <c r="M123" s="435" t="s">
        <v>1397</v>
      </c>
      <c r="N123" s="336">
        <f>463.5/4</f>
        <v>115.875</v>
      </c>
      <c r="O123" s="436">
        <f>Pending[[#This Row],[Power Plant Size (MW) or Share]]*0.593*9057*211.9*10^(-9)</f>
        <v>0.1318741778089125</v>
      </c>
      <c r="P123" s="335">
        <f>Pending[[#This Row],[Annual Emissions (MMTCO2)]]*40</f>
        <v>5.2749671123565003</v>
      </c>
      <c r="Q123" s="336"/>
      <c r="R123" s="404"/>
      <c r="S123" s="444"/>
    </row>
    <row r="124" spans="1:26" ht="51" customHeight="1">
      <c r="A124" s="398" t="s">
        <v>1309</v>
      </c>
      <c r="B124" s="297" t="s">
        <v>977</v>
      </c>
      <c r="C124" s="297" t="s">
        <v>336</v>
      </c>
      <c r="D124" s="504">
        <v>0</v>
      </c>
      <c r="E124" s="298" t="s">
        <v>1398</v>
      </c>
      <c r="F124" s="298" t="s">
        <v>1675</v>
      </c>
      <c r="G124" s="346" t="s">
        <v>1673</v>
      </c>
      <c r="H124" s="403" t="s">
        <v>201</v>
      </c>
      <c r="I124" s="171" t="s">
        <v>283</v>
      </c>
      <c r="J124" s="394" t="s">
        <v>26</v>
      </c>
      <c r="K124" s="368">
        <v>54789</v>
      </c>
      <c r="L124" s="420" t="s">
        <v>1674</v>
      </c>
      <c r="M124" s="286" t="s">
        <v>1397</v>
      </c>
      <c r="N124" s="336">
        <f>463.5/4</f>
        <v>115.875</v>
      </c>
      <c r="O124" s="436">
        <f>Pending[[#This Row],[Power Plant Size (MW) or Share]]*0.593*9057*211.9*10^(-9)</f>
        <v>0.1318741778089125</v>
      </c>
      <c r="P124" s="335">
        <f>Pending[[#This Row],[Annual Emissions (MMTCO2)]]*40</f>
        <v>5.2749671123565003</v>
      </c>
      <c r="Q124" s="336"/>
      <c r="R124" s="404"/>
      <c r="S124" s="444"/>
    </row>
    <row r="125" spans="1:26" ht="51" customHeight="1">
      <c r="A125" s="269" t="s">
        <v>1309</v>
      </c>
      <c r="B125" s="353" t="s">
        <v>1004</v>
      </c>
      <c r="C125" s="353" t="s">
        <v>336</v>
      </c>
      <c r="D125" s="495">
        <v>0</v>
      </c>
      <c r="E125" s="416" t="s">
        <v>35</v>
      </c>
      <c r="F125" s="298" t="s">
        <v>1574</v>
      </c>
      <c r="G125" s="346"/>
      <c r="H125" s="370" t="s">
        <v>63</v>
      </c>
      <c r="I125" s="171" t="s">
        <v>283</v>
      </c>
      <c r="J125" s="417" t="s">
        <v>26</v>
      </c>
      <c r="K125" s="378">
        <v>54789</v>
      </c>
      <c r="L125" s="420" t="s">
        <v>1379</v>
      </c>
      <c r="M125" s="286" t="s">
        <v>1377</v>
      </c>
      <c r="N125" s="335">
        <v>1200</v>
      </c>
      <c r="O125" s="436">
        <f>Pending[[#This Row],[Power Plant Size (MW) or Share]]*0.593*9057*211.9*10^(-9)</f>
        <v>1.36568727828</v>
      </c>
      <c r="P125" s="335">
        <f>Pending[[#This Row],[Annual Emissions (MMTCO2)]]*40</f>
        <v>54.627491131200003</v>
      </c>
      <c r="Q125" s="336"/>
      <c r="R125" s="377"/>
      <c r="S125" s="438"/>
    </row>
    <row r="126" spans="1:26" ht="51" customHeight="1">
      <c r="A126" s="269" t="s">
        <v>1309</v>
      </c>
      <c r="B126" s="353"/>
      <c r="C126" s="297" t="s">
        <v>336</v>
      </c>
      <c r="D126" s="495">
        <v>0</v>
      </c>
      <c r="E126" s="269" t="s">
        <v>1404</v>
      </c>
      <c r="F126" s="298" t="s">
        <v>1622</v>
      </c>
      <c r="G126" s="376" t="s">
        <v>1405</v>
      </c>
      <c r="H126" s="370" t="s">
        <v>85</v>
      </c>
      <c r="I126" s="171" t="s">
        <v>283</v>
      </c>
      <c r="J126" s="372" t="s">
        <v>248</v>
      </c>
      <c r="K126" s="368">
        <v>54789</v>
      </c>
      <c r="L126" s="427" t="s">
        <v>1407</v>
      </c>
      <c r="M126" s="298"/>
      <c r="N126" s="335">
        <v>1000</v>
      </c>
      <c r="O126" s="436">
        <f>Pending[[#This Row],[Power Plant Size (MW) or Share]]*0.593*9057*211.9*10^(-9)</f>
        <v>1.1380727319000001</v>
      </c>
      <c r="P126" s="335">
        <f>Pending[[#This Row],[Annual Emissions (MMTCO2)]]*40</f>
        <v>45.522909276000007</v>
      </c>
      <c r="Q126" s="335"/>
      <c r="R126" s="294" t="s">
        <v>537</v>
      </c>
      <c r="S126" s="442" t="s">
        <v>1406</v>
      </c>
    </row>
    <row r="127" spans="1:26" ht="51" customHeight="1">
      <c r="A127" s="269" t="s">
        <v>208</v>
      </c>
      <c r="B127" s="297" t="s">
        <v>191</v>
      </c>
      <c r="C127" s="297" t="s">
        <v>336</v>
      </c>
      <c r="D127" s="505">
        <v>0</v>
      </c>
      <c r="E127" s="298" t="s">
        <v>1386</v>
      </c>
      <c r="F127" s="298" t="s">
        <v>1635</v>
      </c>
      <c r="G127" s="412" t="s">
        <v>1383</v>
      </c>
      <c r="H127" s="403" t="s">
        <v>273</v>
      </c>
      <c r="I127" s="171" t="s">
        <v>283</v>
      </c>
      <c r="J127" s="394" t="s">
        <v>26</v>
      </c>
      <c r="K127" s="378">
        <v>54789</v>
      </c>
      <c r="L127" s="420" t="s">
        <v>1701</v>
      </c>
      <c r="M127" s="267" t="s">
        <v>1387</v>
      </c>
      <c r="N127" s="336">
        <v>565</v>
      </c>
      <c r="O127" s="436">
        <f>Pending[[#This Row],[Power Plant Size (MW) or Share]]*0.593*9057*211.9*10^(-9)</f>
        <v>0.64301109352350005</v>
      </c>
      <c r="P127" s="335">
        <f>Pending[[#This Row],[Annual Emissions (MMTCO2)]]*40</f>
        <v>25.720443740940002</v>
      </c>
      <c r="Q127" s="336"/>
      <c r="R127" s="404"/>
      <c r="S127" s="444"/>
    </row>
    <row r="128" spans="1:26" ht="51" customHeight="1">
      <c r="A128" s="298" t="s">
        <v>208</v>
      </c>
      <c r="B128" s="297" t="s">
        <v>191</v>
      </c>
      <c r="C128" s="297" t="s">
        <v>336</v>
      </c>
      <c r="D128" s="500">
        <v>0</v>
      </c>
      <c r="E128" s="298" t="s">
        <v>1385</v>
      </c>
      <c r="F128" s="298" t="s">
        <v>1565</v>
      </c>
      <c r="G128" s="412" t="s">
        <v>1383</v>
      </c>
      <c r="H128" s="403" t="s">
        <v>273</v>
      </c>
      <c r="I128" s="171" t="s">
        <v>283</v>
      </c>
      <c r="J128" s="394" t="s">
        <v>26</v>
      </c>
      <c r="K128" s="378">
        <v>54789</v>
      </c>
      <c r="L128" s="420" t="s">
        <v>1701</v>
      </c>
      <c r="M128" s="267" t="s">
        <v>1384</v>
      </c>
      <c r="N128" s="336">
        <v>1320</v>
      </c>
      <c r="O128" s="436">
        <f>Pending[[#This Row],[Power Plant Size (MW) or Share]]*0.593*9057*211.9*10^(-9)</f>
        <v>1.5022560061080001</v>
      </c>
      <c r="P128" s="335">
        <f>Pending[[#This Row],[Annual Emissions (MMTCO2)]]*40</f>
        <v>60.090240244320007</v>
      </c>
      <c r="Q128" s="336"/>
      <c r="R128" s="404"/>
      <c r="S128" s="444"/>
    </row>
    <row r="129" spans="1:19" s="230" customFormat="1" ht="51" customHeight="1">
      <c r="A129" s="269" t="s">
        <v>239</v>
      </c>
      <c r="B129" s="297" t="s">
        <v>1087</v>
      </c>
      <c r="C129" s="297" t="s">
        <v>336</v>
      </c>
      <c r="D129" s="495"/>
      <c r="E129" s="375" t="s">
        <v>1121</v>
      </c>
      <c r="F129" s="269" t="s">
        <v>1630</v>
      </c>
      <c r="G129" s="392" t="s">
        <v>1355</v>
      </c>
      <c r="H129" s="370" t="s">
        <v>1120</v>
      </c>
      <c r="I129" s="171" t="s">
        <v>283</v>
      </c>
      <c r="J129" s="371" t="s">
        <v>26</v>
      </c>
      <c r="K129" s="368">
        <v>54789</v>
      </c>
      <c r="L129" s="422"/>
      <c r="M129" s="262"/>
      <c r="N129" s="374">
        <v>700</v>
      </c>
      <c r="O129" s="436">
        <f>Pending[[#This Row],[Power Plant Size (MW) or Share]]*0.593*9057*211.9*10^(-9)</f>
        <v>0.79665091232999996</v>
      </c>
      <c r="P129" s="335">
        <f>Pending[[#This Row],[Annual Emissions (MMTCO2)]]*40</f>
        <v>31.866036493199999</v>
      </c>
      <c r="Q129" s="335"/>
      <c r="R129" s="294"/>
      <c r="S129" s="442"/>
    </row>
    <row r="130" spans="1:19" ht="51" customHeight="1">
      <c r="A130" s="296" t="s">
        <v>239</v>
      </c>
      <c r="B130" s="391" t="s">
        <v>1126</v>
      </c>
      <c r="C130" s="391" t="s">
        <v>336</v>
      </c>
      <c r="D130" s="499">
        <v>1492000000</v>
      </c>
      <c r="E130" s="271" t="s">
        <v>1333</v>
      </c>
      <c r="F130" s="271" t="s">
        <v>1626</v>
      </c>
      <c r="G130" s="401" t="s">
        <v>1350</v>
      </c>
      <c r="H130" s="393" t="s">
        <v>442</v>
      </c>
      <c r="I130" s="171" t="s">
        <v>283</v>
      </c>
      <c r="J130" s="393" t="s">
        <v>26</v>
      </c>
      <c r="K130" s="378">
        <v>54789</v>
      </c>
      <c r="L130" s="421"/>
      <c r="M130" s="274" t="s">
        <v>1349</v>
      </c>
      <c r="N130" s="336">
        <v>1320</v>
      </c>
      <c r="O130" s="436">
        <f>Pending[[#This Row],[Power Plant Size (MW) or Share]]*0.593*9057*211.9*10^(-9)</f>
        <v>1.5022560061080001</v>
      </c>
      <c r="P130" s="335">
        <f>Pending[[#This Row],[Annual Emissions (MMTCO2)]]*40</f>
        <v>60.090240244320007</v>
      </c>
      <c r="Q130" s="336"/>
      <c r="R130" s="294"/>
      <c r="S130" s="442"/>
    </row>
    <row r="131" spans="1:19" ht="51" customHeight="1">
      <c r="A131" s="269" t="s">
        <v>160</v>
      </c>
      <c r="B131" s="413" t="s">
        <v>256</v>
      </c>
      <c r="C131" s="379" t="s">
        <v>337</v>
      </c>
      <c r="D131" s="504"/>
      <c r="E131" s="269" t="s">
        <v>1686</v>
      </c>
      <c r="F131" s="406" t="s">
        <v>1684</v>
      </c>
      <c r="G131" s="346" t="s">
        <v>1682</v>
      </c>
      <c r="H131" s="403" t="s">
        <v>442</v>
      </c>
      <c r="I131" s="171" t="s">
        <v>283</v>
      </c>
      <c r="J131" s="394" t="s">
        <v>26</v>
      </c>
      <c r="K131" s="378">
        <v>54789</v>
      </c>
      <c r="L131" s="426" t="s">
        <v>1685</v>
      </c>
      <c r="M131" s="434" t="s">
        <v>1683</v>
      </c>
      <c r="N131" s="340">
        <v>150</v>
      </c>
      <c r="O131" s="436">
        <f>Pending[[#This Row],[Power Plant Size (MW) or Share]]*0.593*9057*211.9*10^(-9)</f>
        <v>0.170710909785</v>
      </c>
      <c r="P131" s="335">
        <f>Pending[[#This Row],[Annual Emissions (MMTCO2)]]*40</f>
        <v>6.8284363914000004</v>
      </c>
      <c r="Q131" s="340"/>
      <c r="R131" s="305"/>
      <c r="S131" s="438"/>
    </row>
    <row r="132" spans="1:19" ht="51" customHeight="1">
      <c r="A132" s="298" t="s">
        <v>239</v>
      </c>
      <c r="B132" s="379" t="s">
        <v>1061</v>
      </c>
      <c r="C132" s="379" t="s">
        <v>337</v>
      </c>
      <c r="D132" s="499">
        <v>125000000</v>
      </c>
      <c r="E132" s="381" t="s">
        <v>1128</v>
      </c>
      <c r="F132" s="295" t="s">
        <v>1564</v>
      </c>
      <c r="G132" s="292" t="s">
        <v>1417</v>
      </c>
      <c r="H132" s="403" t="s">
        <v>442</v>
      </c>
      <c r="I132" s="171" t="s">
        <v>283</v>
      </c>
      <c r="J132" s="394" t="s">
        <v>26</v>
      </c>
      <c r="K132" s="378">
        <v>54789</v>
      </c>
      <c r="L132" s="420"/>
      <c r="M132" s="298"/>
      <c r="N132" s="336"/>
      <c r="O132" s="436">
        <f>Pending[[#This Row],[Power Plant Size (MW) or Share]]*0.593*9057*211.9*10^(-9)</f>
        <v>0</v>
      </c>
      <c r="P132" s="335">
        <f>Pending[[#This Row],[Annual Emissions (MMTCO2)]]*40</f>
        <v>0</v>
      </c>
      <c r="Q132" s="336"/>
      <c r="R132" s="404"/>
      <c r="S132" s="444"/>
    </row>
    <row r="133" spans="1:19" ht="51" customHeight="1">
      <c r="A133" s="380" t="s">
        <v>160</v>
      </c>
      <c r="B133" s="297" t="s">
        <v>87</v>
      </c>
      <c r="C133" s="379" t="s">
        <v>337</v>
      </c>
      <c r="D133" s="504"/>
      <c r="E133" s="269"/>
      <c r="F133" s="406" t="s">
        <v>1678</v>
      </c>
      <c r="G133" s="346" t="s">
        <v>1679</v>
      </c>
      <c r="H133" s="307" t="s">
        <v>85</v>
      </c>
      <c r="I133" s="171" t="s">
        <v>283</v>
      </c>
      <c r="J133" s="394" t="s">
        <v>26</v>
      </c>
      <c r="K133" s="378">
        <v>54789</v>
      </c>
      <c r="L133" s="426" t="s">
        <v>1681</v>
      </c>
      <c r="M133" s="305"/>
      <c r="N133" s="340">
        <f>2140/2</f>
        <v>1070</v>
      </c>
      <c r="O133" s="436">
        <f>Pending[[#This Row],[Power Plant Size (MW) or Share]]*0.593*9057*211.9*10^(-9)</f>
        <v>1.2177378231330003</v>
      </c>
      <c r="P133" s="335">
        <f>Pending[[#This Row],[Annual Emissions (MMTCO2)]]*40</f>
        <v>48.709512925320013</v>
      </c>
      <c r="Q133" s="340"/>
      <c r="R133" s="305"/>
      <c r="S133" s="438"/>
    </row>
    <row r="134" spans="1:19" ht="51" customHeight="1">
      <c r="A134" s="298" t="s">
        <v>239</v>
      </c>
      <c r="B134" s="353" t="s">
        <v>1367</v>
      </c>
      <c r="C134" s="353" t="s">
        <v>1367</v>
      </c>
      <c r="D134" s="499"/>
      <c r="E134" s="405" t="s">
        <v>1127</v>
      </c>
      <c r="F134" s="298" t="s">
        <v>1576</v>
      </c>
      <c r="G134" s="402" t="s">
        <v>1368</v>
      </c>
      <c r="H134" s="403" t="s">
        <v>442</v>
      </c>
      <c r="I134" s="171" t="s">
        <v>283</v>
      </c>
      <c r="J134" s="394" t="s">
        <v>277</v>
      </c>
      <c r="K134" s="378">
        <v>54789</v>
      </c>
      <c r="L134" s="420" t="s">
        <v>1413</v>
      </c>
      <c r="M134" s="298"/>
      <c r="N134" s="336">
        <v>660</v>
      </c>
      <c r="O134" s="436">
        <f>Pending[[#This Row],[Power Plant Size (MW) or Share]]*0.593*9057*211.9*10^(-9)</f>
        <v>0.75112800305400007</v>
      </c>
      <c r="P134" s="335">
        <f>Pending[[#This Row],[Annual Emissions (MMTCO2)]]*40</f>
        <v>30.045120122160004</v>
      </c>
      <c r="Q134" s="441"/>
      <c r="R134" s="404"/>
      <c r="S134" s="442"/>
    </row>
    <row r="135" spans="1:19" ht="51" customHeight="1">
      <c r="A135" s="293" t="s">
        <v>239</v>
      </c>
      <c r="B135" s="293" t="s">
        <v>1087</v>
      </c>
      <c r="C135" s="381" t="s">
        <v>336</v>
      </c>
      <c r="D135" s="499"/>
      <c r="E135" s="381"/>
      <c r="F135" s="295"/>
      <c r="G135" s="402" t="s">
        <v>1388</v>
      </c>
      <c r="H135" s="383" t="s">
        <v>442</v>
      </c>
      <c r="I135" s="180" t="s">
        <v>284</v>
      </c>
      <c r="J135" s="399" t="s">
        <v>247</v>
      </c>
      <c r="K135" s="368">
        <v>54789</v>
      </c>
      <c r="L135" s="425" t="s">
        <v>1419</v>
      </c>
      <c r="M135" s="292" t="s">
        <v>1129</v>
      </c>
      <c r="N135" s="400">
        <v>1320</v>
      </c>
      <c r="O135" s="436">
        <f>Pending[[#This Row],[Power Plant Size (MW) or Share]]*0.593*9057*211.9*10^(-9)</f>
        <v>1.5022560061080001</v>
      </c>
      <c r="P135" s="335">
        <f>Pending[[#This Row],[Annual Emissions (MMTCO2)]]*40</f>
        <v>60.090240244320007</v>
      </c>
      <c r="Q135" s="335"/>
      <c r="R135" s="295"/>
      <c r="S135" s="438"/>
    </row>
    <row r="136" spans="1:19" ht="51" customHeight="1">
      <c r="A136" s="269" t="s">
        <v>160</v>
      </c>
      <c r="B136" s="297" t="s">
        <v>161</v>
      </c>
      <c r="C136" s="379" t="s">
        <v>336</v>
      </c>
      <c r="D136" s="504"/>
      <c r="E136" s="269"/>
      <c r="F136" s="406" t="s">
        <v>1678</v>
      </c>
      <c r="G136" s="346" t="s">
        <v>1680</v>
      </c>
      <c r="H136" s="307" t="s">
        <v>85</v>
      </c>
      <c r="I136" s="171" t="s">
        <v>283</v>
      </c>
      <c r="J136" s="394" t="s">
        <v>26</v>
      </c>
      <c r="K136" s="378">
        <v>54789</v>
      </c>
      <c r="L136" s="426" t="s">
        <v>1681</v>
      </c>
      <c r="M136" s="305"/>
      <c r="N136" s="340">
        <f>2140/2</f>
        <v>1070</v>
      </c>
      <c r="O136" s="436">
        <f>Pending[[#This Row],[Power Plant Size (MW) or Share]]*0.593*9057*211.9*10^(-9)</f>
        <v>1.2177378231330003</v>
      </c>
      <c r="P136" s="335">
        <f>Pending[[#This Row],[Annual Emissions (MMTCO2)]]*40</f>
        <v>48.709512925320013</v>
      </c>
      <c r="Q136" s="340"/>
      <c r="R136" s="305"/>
      <c r="S136" s="438"/>
    </row>
    <row r="137" spans="1:19" ht="51" customHeight="1">
      <c r="A137" s="298" t="s">
        <v>160</v>
      </c>
      <c r="B137" s="298" t="s">
        <v>1367</v>
      </c>
      <c r="C137" s="298" t="s">
        <v>1367</v>
      </c>
      <c r="D137" s="500"/>
      <c r="E137" s="414" t="s">
        <v>1615</v>
      </c>
      <c r="F137" s="298" t="s">
        <v>1578</v>
      </c>
      <c r="G137" s="346" t="s">
        <v>1677</v>
      </c>
      <c r="H137" s="403" t="s">
        <v>63</v>
      </c>
      <c r="I137" s="171" t="s">
        <v>283</v>
      </c>
      <c r="J137" s="394" t="s">
        <v>26</v>
      </c>
      <c r="K137" s="378">
        <v>54789</v>
      </c>
      <c r="L137" s="420"/>
      <c r="M137" s="435" t="s">
        <v>1439</v>
      </c>
      <c r="N137" s="336">
        <v>1980</v>
      </c>
      <c r="O137" s="436">
        <f>Pending[[#This Row],[Power Plant Size (MW) or Share]]*0.593*9057*211.9*10^(-9)</f>
        <v>2.2533840091619997</v>
      </c>
      <c r="P137" s="335">
        <f>Pending[[#This Row],[Annual Emissions (MMTCO2)]]*40</f>
        <v>90.135360366479986</v>
      </c>
      <c r="Q137" s="336"/>
      <c r="R137" s="404"/>
      <c r="S137" s="444"/>
    </row>
    <row r="138" spans="1:19" ht="51" customHeight="1">
      <c r="A138" s="269" t="s">
        <v>25</v>
      </c>
      <c r="B138" s="353" t="s">
        <v>1496</v>
      </c>
      <c r="C138" s="353" t="s">
        <v>336</v>
      </c>
      <c r="D138" s="495"/>
      <c r="E138" s="269" t="s">
        <v>1494</v>
      </c>
      <c r="F138" s="298" t="s">
        <v>1567</v>
      </c>
      <c r="G138" s="410"/>
      <c r="H138" s="370" t="s">
        <v>1285</v>
      </c>
      <c r="I138" s="180" t="s">
        <v>284</v>
      </c>
      <c r="J138" s="394" t="s">
        <v>1497</v>
      </c>
      <c r="K138" s="378">
        <v>54789</v>
      </c>
      <c r="L138" s="420"/>
      <c r="M138" s="305" t="s">
        <v>1495</v>
      </c>
      <c r="N138" s="335"/>
      <c r="O138" s="436">
        <f>Pending[[#This Row],[Power Plant Size (MW) or Share]]*0.593*9057*211.9*10^(-9)</f>
        <v>0</v>
      </c>
      <c r="P138" s="335">
        <f>Pending[[#This Row],[Annual Emissions (MMTCO2)]]*40</f>
        <v>0</v>
      </c>
      <c r="Q138" s="336"/>
      <c r="R138" s="377"/>
      <c r="S138" s="442"/>
    </row>
    <row r="139" spans="1:19" ht="51" customHeight="1">
      <c r="A139" s="298" t="s">
        <v>1309</v>
      </c>
      <c r="B139" s="353" t="s">
        <v>977</v>
      </c>
      <c r="C139" s="353" t="s">
        <v>336</v>
      </c>
      <c r="D139" s="504"/>
      <c r="E139" s="298" t="s">
        <v>1378</v>
      </c>
      <c r="F139" s="298" t="s">
        <v>1574</v>
      </c>
      <c r="G139" s="346"/>
      <c r="H139" s="403" t="s">
        <v>63</v>
      </c>
      <c r="I139" s="171" t="s">
        <v>283</v>
      </c>
      <c r="J139" s="394" t="s">
        <v>26</v>
      </c>
      <c r="K139" s="378">
        <v>54789</v>
      </c>
      <c r="L139" s="420" t="s">
        <v>1379</v>
      </c>
      <c r="M139" s="286" t="s">
        <v>1377</v>
      </c>
      <c r="N139" s="336">
        <v>1200</v>
      </c>
      <c r="O139" s="436">
        <f>Pending[[#This Row],[Power Plant Size (MW) or Share]]*0.593*9057*211.9*10^(-9)</f>
        <v>1.36568727828</v>
      </c>
      <c r="P139" s="335">
        <f>Pending[[#This Row],[Annual Emissions (MMTCO2)]]*40</f>
        <v>54.627491131200003</v>
      </c>
      <c r="Q139" s="336"/>
      <c r="R139" s="404"/>
      <c r="S139" s="440"/>
    </row>
    <row r="140" spans="1:19" ht="51" customHeight="1">
      <c r="A140" s="380" t="s">
        <v>208</v>
      </c>
      <c r="B140" s="297" t="s">
        <v>191</v>
      </c>
      <c r="C140" s="379"/>
      <c r="D140" s="504"/>
      <c r="E140" s="269" t="s">
        <v>1663</v>
      </c>
      <c r="F140" s="296" t="s">
        <v>1661</v>
      </c>
      <c r="G140" s="305" t="s">
        <v>1664</v>
      </c>
      <c r="H140" s="173" t="s">
        <v>63</v>
      </c>
      <c r="I140" s="307"/>
      <c r="J140" s="173"/>
      <c r="K140" s="418">
        <v>54789</v>
      </c>
      <c r="L140" s="426" t="s">
        <v>1662</v>
      </c>
      <c r="M140" s="305"/>
      <c r="N140" s="340"/>
      <c r="O140" s="436">
        <f>Pending[[#This Row],[Power Plant Size (MW) or Share]]*0.593*9057*211.9*10^(-9)</f>
        <v>0</v>
      </c>
      <c r="P140" s="335">
        <f>Pending[[#This Row],[Annual Emissions (MMTCO2)]]*40</f>
        <v>0</v>
      </c>
      <c r="Q140" s="340"/>
      <c r="R140" s="305"/>
      <c r="S140" s="438"/>
    </row>
    <row r="141" spans="1:19" ht="51" customHeight="1">
      <c r="A141" s="482"/>
      <c r="B141" s="483"/>
      <c r="C141" s="483"/>
      <c r="D141" s="506">
        <f>SUBTOTAL(109,Pending[Amount (in USD)])</f>
        <v>29872852756.823284</v>
      </c>
      <c r="E141" s="482"/>
      <c r="F141" s="482"/>
      <c r="G141" s="484"/>
      <c r="H141" s="485"/>
      <c r="I141" s="485"/>
      <c r="J141" s="486"/>
      <c r="K141" s="487"/>
      <c r="L141" s="488"/>
      <c r="M141" s="482"/>
      <c r="N141" s="489">
        <f>SUBTOTAL(109,Pending[Power Plant Size (MW) or Share])</f>
        <v>48093.5</v>
      </c>
      <c r="O141" s="490">
        <f>SUBTOTAL(109,Pending[Annual Emissions (MMTCO2)])</f>
        <v>54.733900931632654</v>
      </c>
      <c r="P141" s="489">
        <f>SUBTOTAL(109,Pending[Lifetime Emissions (MMTCO2)])</f>
        <v>2189.356037265306</v>
      </c>
      <c r="Q141" s="489"/>
      <c r="R141" s="491"/>
      <c r="S141" s="492"/>
    </row>
    <row r="142" spans="1:19" ht="51" customHeight="1">
      <c r="D142" s="350"/>
    </row>
    <row r="143" spans="1:19" ht="51" customHeight="1">
      <c r="D143" s="350"/>
    </row>
    <row r="144" spans="1:19" ht="51" customHeight="1"/>
    <row r="145" ht="51" customHeight="1"/>
    <row r="146" ht="51" customHeight="1"/>
  </sheetData>
  <conditionalFormatting sqref="D99">
    <cfRule type="duplicateValues" dxfId="86" priority="17"/>
    <cfRule type="duplicateValues" dxfId="85" priority="18"/>
  </conditionalFormatting>
  <conditionalFormatting sqref="D118">
    <cfRule type="duplicateValues" dxfId="84" priority="11"/>
    <cfRule type="duplicateValues" dxfId="83" priority="12"/>
  </conditionalFormatting>
  <conditionalFormatting sqref="D119">
    <cfRule type="duplicateValues" dxfId="82" priority="9"/>
    <cfRule type="duplicateValues" dxfId="81" priority="10"/>
  </conditionalFormatting>
  <conditionalFormatting sqref="D120">
    <cfRule type="duplicateValues" dxfId="80" priority="5"/>
    <cfRule type="duplicateValues" dxfId="79" priority="6"/>
    <cfRule type="duplicateValues" dxfId="78" priority="7"/>
    <cfRule type="duplicateValues" dxfId="77" priority="8"/>
  </conditionalFormatting>
  <hyperlinks>
    <hyperlink ref="M25" r:id="rId1"/>
    <hyperlink ref="G130" r:id="rId2"/>
    <hyperlink ref="G19" r:id="rId3"/>
    <hyperlink ref="M76" r:id="rId4"/>
    <hyperlink ref="M77" r:id="rId5"/>
    <hyperlink ref="M75" r:id="rId6"/>
    <hyperlink ref="M78" r:id="rId7"/>
    <hyperlink ref="M80" r:id="rId8"/>
    <hyperlink ref="M72" r:id="rId9"/>
    <hyperlink ref="M90" r:id="rId10"/>
    <hyperlink ref="M91" r:id="rId11"/>
    <hyperlink ref="M83" r:id="rId12"/>
    <hyperlink ref="M98" r:id="rId13"/>
    <hyperlink ref="M89" r:id="rId14"/>
    <hyperlink ref="G134" r:id="rId15"/>
    <hyperlink ref="G127" r:id="rId16"/>
    <hyperlink ref="G128" r:id="rId17"/>
    <hyperlink ref="M128" r:id="rId18"/>
    <hyperlink ref="M127" r:id="rId19"/>
    <hyperlink ref="G135" r:id="rId20"/>
    <hyperlink ref="G126" r:id="rId21"/>
    <hyperlink ref="G13" r:id="rId22"/>
    <hyperlink ref="M139" r:id="rId23"/>
    <hyperlink ref="M125" r:id="rId24"/>
    <hyperlink ref="G24" r:id="rId25" display="http://allafrica.com/stories/201504131898.html"/>
    <hyperlink ref="G132" r:id="rId26"/>
    <hyperlink ref="G58" r:id="rId27"/>
    <hyperlink ref="G55" r:id="rId28"/>
    <hyperlink ref="G52" r:id="rId29"/>
    <hyperlink ref="G49" r:id="rId30"/>
    <hyperlink ref="G51" r:id="rId31"/>
    <hyperlink ref="G41" r:id="rId32"/>
    <hyperlink ref="G37" r:id="rId33"/>
    <hyperlink ref="G46" r:id="rId34"/>
    <hyperlink ref="G60" r:id="rId35"/>
    <hyperlink ref="G50" r:id="rId36"/>
    <hyperlink ref="M33" r:id="rId37"/>
    <hyperlink ref="M61" r:id="rId38"/>
    <hyperlink ref="M47" r:id="rId39"/>
    <hyperlink ref="M53" r:id="rId40"/>
    <hyperlink ref="M65" r:id="rId41"/>
    <hyperlink ref="M62" r:id="rId42"/>
    <hyperlink ref="G42" r:id="rId43"/>
    <hyperlink ref="G66" r:id="rId44"/>
    <hyperlink ref="G18" r:id="rId45"/>
    <hyperlink ref="M111:M112" r:id="rId46" display="https://ijglobal.com/data/transaction/17705/mundra-umpp"/>
    <hyperlink ref="M34" r:id="rId47"/>
    <hyperlink ref="G31" r:id="rId48"/>
    <hyperlink ref="M48" r:id="rId49"/>
    <hyperlink ref="M137" r:id="rId50"/>
    <hyperlink ref="M138" r:id="rId51"/>
    <hyperlink ref="M69" r:id="rId52"/>
    <hyperlink ref="G16" r:id="rId53"/>
    <hyperlink ref="M16" r:id="rId54" location="2fdc28011319"/>
    <hyperlink ref="M122" r:id="rId55"/>
    <hyperlink ref="M123" r:id="rId56"/>
    <hyperlink ref="G23" r:id="rId57"/>
    <hyperlink ref="G140" r:id="rId58"/>
    <hyperlink ref="M27" r:id="rId59"/>
    <hyperlink ref="G29" r:id="rId60"/>
    <hyperlink ref="G28" r:id="rId61"/>
    <hyperlink ref="G27" r:id="rId62"/>
    <hyperlink ref="G122" r:id="rId63" location="project-pds" display="https://www.adb.org/projects/46915-014/main - project-pds"/>
    <hyperlink ref="G121" r:id="rId64" location="project-pds" display="https://www.adb.org/projects/46915-014/main - project-pds"/>
    <hyperlink ref="G123" r:id="rId65" location="project-pds" display="https://www.adb.org/projects/46915-014/main - project-pds"/>
    <hyperlink ref="M121" r:id="rId66"/>
    <hyperlink ref="G113" r:id="rId67" location="project-pds" display="https://www.adb.org/projects/46915-014/main - project-pds"/>
    <hyperlink ref="G124" r:id="rId68" location="project-pds" display="https://www.adb.org/projects/46915-014/main - project-pds"/>
    <hyperlink ref="G48" r:id="rId69" display="http://www.jbic.go.jp/en/efforts/environment/projects/48375"/>
    <hyperlink ref="G118" r:id="rId70" display="http://www.jbic.go.jp/en/efforts/environment/projects/48375"/>
    <hyperlink ref="G137" r:id="rId71" display="http://www.jbic.go.jp/en/efforts/environment/projects/48375"/>
    <hyperlink ref="M118" r:id="rId72"/>
    <hyperlink ref="M31" r:id="rId73"/>
    <hyperlink ref="G133" r:id="rId74"/>
    <hyperlink ref="G136" r:id="rId75"/>
    <hyperlink ref="G131" r:id="rId76"/>
    <hyperlink ref="M131" r:id="rId77"/>
    <hyperlink ref="G8" r:id="rId78"/>
    <hyperlink ref="G2" r:id="rId79"/>
    <hyperlink ref="G4" r:id="rId80"/>
    <hyperlink ref="G5" r:id="rId81"/>
    <hyperlink ref="G6" r:id="rId82"/>
    <hyperlink ref="M11" r:id="rId83" display="http://af.reuters.com/article/energyOilNews/idAFL4N18Y264"/>
    <hyperlink ref="G11" r:id="rId84"/>
    <hyperlink ref="G7" r:id="rId85"/>
    <hyperlink ref="G9" r:id="rId86"/>
  </hyperlinks>
  <pageMargins left="0.7" right="0.7" top="0.75" bottom="0.75" header="0.3" footer="0.3"/>
  <pageSetup orientation="portrait" r:id="rId87"/>
  <tableParts count="1">
    <tablePart r:id="rId8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J3:M26"/>
  <sheetViews>
    <sheetView topLeftCell="B1" zoomScaleNormal="100" zoomScalePageLayoutView="125" workbookViewId="0">
      <selection activeCell="J6" sqref="J6:J25"/>
    </sheetView>
  </sheetViews>
  <sheetFormatPr defaultColWidth="8.87890625" defaultRowHeight="14.35"/>
  <cols>
    <col min="10" max="10" width="12" bestFit="1" customWidth="1"/>
    <col min="11" max="11" width="22.87890625" bestFit="1" customWidth="1"/>
    <col min="12" max="12" width="13.87890625" bestFit="1" customWidth="1"/>
    <col min="13" max="13" width="10.1171875" bestFit="1" customWidth="1"/>
  </cols>
  <sheetData>
    <row r="3" spans="10:11">
      <c r="J3" s="4" t="s">
        <v>361</v>
      </c>
      <c r="K3" s="254" t="s">
        <v>339</v>
      </c>
    </row>
    <row r="5" spans="10:11">
      <c r="J5" s="4" t="s">
        <v>4</v>
      </c>
      <c r="K5" t="s">
        <v>276</v>
      </c>
    </row>
    <row r="6" spans="10:11">
      <c r="J6" s="5" t="s">
        <v>239</v>
      </c>
      <c r="K6" s="8">
        <v>24533112105.985718</v>
      </c>
    </row>
    <row r="7" spans="10:11">
      <c r="J7" s="5" t="s">
        <v>160</v>
      </c>
      <c r="K7" s="8">
        <v>21044194739.059017</v>
      </c>
    </row>
    <row r="8" spans="10:11">
      <c r="J8" s="5" t="s">
        <v>75</v>
      </c>
      <c r="K8" s="8">
        <v>8846502065.8467388</v>
      </c>
    </row>
    <row r="9" spans="10:11">
      <c r="J9" s="5" t="s">
        <v>1309</v>
      </c>
      <c r="K9" s="8">
        <v>6560656810.3952169</v>
      </c>
    </row>
    <row r="10" spans="10:11">
      <c r="J10" s="5" t="s">
        <v>544</v>
      </c>
      <c r="K10" s="8">
        <v>2776817319.7206435</v>
      </c>
    </row>
    <row r="11" spans="10:11">
      <c r="J11" s="5" t="s">
        <v>33</v>
      </c>
      <c r="K11" s="8">
        <v>2757696142.6281834</v>
      </c>
    </row>
    <row r="12" spans="10:11">
      <c r="J12" s="5" t="s">
        <v>45</v>
      </c>
      <c r="K12" s="8">
        <v>2711487957.4672599</v>
      </c>
    </row>
    <row r="13" spans="10:11">
      <c r="J13" s="5" t="s">
        <v>545</v>
      </c>
      <c r="K13" s="8">
        <v>2261113130.359201</v>
      </c>
    </row>
    <row r="14" spans="10:11">
      <c r="J14" s="5" t="s">
        <v>86</v>
      </c>
      <c r="K14" s="8">
        <v>1550899690.1455212</v>
      </c>
    </row>
    <row r="15" spans="10:11">
      <c r="J15" s="5" t="s">
        <v>11</v>
      </c>
      <c r="K15" s="8">
        <v>813940451.69418132</v>
      </c>
    </row>
    <row r="16" spans="10:11">
      <c r="J16" s="5" t="s">
        <v>20</v>
      </c>
      <c r="K16" s="8">
        <v>728025292.58243704</v>
      </c>
    </row>
    <row r="17" spans="10:13">
      <c r="J17" s="5" t="s">
        <v>65</v>
      </c>
      <c r="K17" s="8">
        <v>499033996.28327429</v>
      </c>
    </row>
    <row r="18" spans="10:13">
      <c r="J18" s="5" t="s">
        <v>25</v>
      </c>
      <c r="K18" s="8">
        <v>381816489.57915545</v>
      </c>
      <c r="M18" s="7">
        <f>(SUM(K6:K9))/K26</f>
        <v>0.79954828984628801</v>
      </c>
    </row>
    <row r="19" spans="10:13">
      <c r="J19" s="5" t="s">
        <v>85</v>
      </c>
      <c r="K19" s="8">
        <v>230716376.98232016</v>
      </c>
    </row>
    <row r="20" spans="10:13">
      <c r="J20" s="5" t="s">
        <v>1308</v>
      </c>
      <c r="K20" s="8">
        <v>148080326.58120218</v>
      </c>
    </row>
    <row r="21" spans="10:13">
      <c r="J21" s="5" t="s">
        <v>36</v>
      </c>
      <c r="K21" s="8">
        <v>132412996.82845719</v>
      </c>
    </row>
    <row r="22" spans="10:13">
      <c r="J22" s="5" t="s">
        <v>1149</v>
      </c>
      <c r="K22" s="8">
        <v>104456795.78876325</v>
      </c>
    </row>
    <row r="23" spans="10:13">
      <c r="J23" s="5" t="s">
        <v>1253</v>
      </c>
      <c r="K23" s="8">
        <v>95183494.25215508</v>
      </c>
    </row>
    <row r="24" spans="10:13">
      <c r="J24" s="5" t="s">
        <v>78</v>
      </c>
      <c r="K24" s="8">
        <v>60526747.919473656</v>
      </c>
    </row>
    <row r="25" spans="10:13">
      <c r="J25" s="5" t="s">
        <v>473</v>
      </c>
      <c r="K25" s="8">
        <v>36976198.724620603</v>
      </c>
    </row>
    <row r="26" spans="10:13">
      <c r="J26" s="5" t="s">
        <v>275</v>
      </c>
      <c r="K26" s="8">
        <v>76273649128.823563</v>
      </c>
    </row>
  </sheetData>
  <pageMargins left="0.7" right="0.7" top="0.75" bottom="0.75" header="0.3" footer="0.3"/>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K1:AF1354"/>
  <sheetViews>
    <sheetView zoomScale="70" zoomScaleNormal="70" zoomScalePageLayoutView="87" workbookViewId="0">
      <selection activeCell="M33" sqref="M33"/>
    </sheetView>
  </sheetViews>
  <sheetFormatPr defaultColWidth="9.1171875" defaultRowHeight="14.35"/>
  <cols>
    <col min="1" max="9" width="9.1171875" style="254" customWidth="1"/>
    <col min="10" max="10" width="27.87890625" style="254" bestFit="1" customWidth="1"/>
    <col min="11" max="11" width="29.1171875" style="254" customWidth="1"/>
    <col min="12" max="12" width="21.703125" style="254" customWidth="1"/>
    <col min="13" max="13" width="20.703125" style="254" customWidth="1"/>
    <col min="14" max="14" width="20.1171875" style="254" customWidth="1"/>
    <col min="15" max="17" width="19.703125" style="254" customWidth="1"/>
    <col min="18" max="18" width="19.29296875" style="254" customWidth="1"/>
    <col min="19" max="20" width="19.703125" style="254" customWidth="1"/>
    <col min="21" max="21" width="17.41015625" style="254" customWidth="1"/>
    <col min="22" max="23" width="17.87890625" style="254" bestFit="1" customWidth="1"/>
    <col min="24" max="24" width="17.1171875" style="254" customWidth="1"/>
    <col min="25" max="25" width="17.41015625" style="254" customWidth="1"/>
    <col min="26" max="26" width="17.41015625" style="254" bestFit="1" customWidth="1"/>
    <col min="27" max="27" width="17.1171875" style="254" bestFit="1" customWidth="1"/>
    <col min="28" max="28" width="17.41015625" style="254" bestFit="1" customWidth="1"/>
    <col min="29" max="30" width="16.41015625" style="254" bestFit="1" customWidth="1"/>
    <col min="31" max="31" width="15.87890625" style="254" bestFit="1" customWidth="1"/>
    <col min="32" max="32" width="21.1171875" style="254" bestFit="1" customWidth="1"/>
    <col min="33" max="34" width="11.1171875" style="254" bestFit="1" customWidth="1"/>
    <col min="35" max="36" width="12.1171875" style="254" bestFit="1" customWidth="1"/>
    <col min="37" max="37" width="13.703125" style="254" bestFit="1" customWidth="1"/>
    <col min="38" max="38" width="14.703125" style="254" bestFit="1" customWidth="1"/>
    <col min="39" max="39" width="13.703125" style="254" bestFit="1" customWidth="1"/>
    <col min="40" max="41" width="14.703125" style="254" bestFit="1" customWidth="1"/>
    <col min="42" max="42" width="16.5859375" style="254" bestFit="1" customWidth="1"/>
    <col min="43" max="55" width="9.1171875" style="254"/>
    <col min="56" max="56" width="61.29296875" style="254" bestFit="1" customWidth="1"/>
    <col min="57" max="57" width="63.41015625" style="254" bestFit="1" customWidth="1"/>
    <col min="58" max="58" width="30.1171875" style="254" bestFit="1" customWidth="1"/>
    <col min="59" max="60" width="34.41015625" style="254" bestFit="1" customWidth="1"/>
    <col min="61" max="61" width="36.703125" style="254" bestFit="1" customWidth="1"/>
    <col min="62" max="62" width="34.41015625" style="254" bestFit="1" customWidth="1"/>
    <col min="63" max="63" width="50.1171875" style="254" bestFit="1" customWidth="1"/>
    <col min="64" max="64" width="40.1171875" style="254" bestFit="1" customWidth="1"/>
    <col min="65" max="68" width="43.41015625" style="254" bestFit="1" customWidth="1"/>
    <col min="69" max="69" width="44.41015625" style="254" bestFit="1" customWidth="1"/>
    <col min="70" max="70" width="43.41015625" style="254" bestFit="1" customWidth="1"/>
    <col min="71" max="72" width="44.41015625" style="254" bestFit="1" customWidth="1"/>
    <col min="73" max="73" width="39" style="254" bestFit="1" customWidth="1"/>
    <col min="74" max="74" width="37.87890625" style="254" bestFit="1" customWidth="1"/>
    <col min="75" max="75" width="44.41015625" style="254" bestFit="1" customWidth="1"/>
    <col min="76" max="77" width="47.87890625" style="254" bestFit="1" customWidth="1"/>
    <col min="78" max="78" width="46.703125" style="254" bestFit="1" customWidth="1"/>
    <col min="79" max="79" width="49" style="254" bestFit="1" customWidth="1"/>
    <col min="80" max="80" width="46.703125" style="254" bestFit="1" customWidth="1"/>
    <col min="81" max="81" width="49" style="254" bestFit="1" customWidth="1"/>
    <col min="82" max="83" width="47.87890625" style="254" bestFit="1" customWidth="1"/>
    <col min="84" max="85" width="53.41015625" style="254" bestFit="1" customWidth="1"/>
    <col min="86" max="86" width="49" style="254" bestFit="1" customWidth="1"/>
    <col min="87" max="16384" width="9.1171875" style="254"/>
  </cols>
  <sheetData>
    <row r="1" spans="11:32">
      <c r="K1"/>
      <c r="L1"/>
    </row>
    <row r="3" spans="11:32">
      <c r="K3" s="4" t="s">
        <v>276</v>
      </c>
      <c r="L3" s="4" t="s">
        <v>281</v>
      </c>
      <c r="M3"/>
      <c r="N3"/>
      <c r="O3"/>
      <c r="P3"/>
      <c r="Q3"/>
      <c r="R3"/>
      <c r="S3"/>
      <c r="T3"/>
      <c r="U3"/>
      <c r="V3"/>
      <c r="W3"/>
      <c r="X3"/>
      <c r="Y3"/>
      <c r="Z3"/>
      <c r="AA3"/>
      <c r="AB3"/>
      <c r="AC3"/>
      <c r="AD3"/>
      <c r="AE3"/>
      <c r="AF3"/>
    </row>
    <row r="4" spans="11:32">
      <c r="K4" s="4" t="s">
        <v>274</v>
      </c>
      <c r="L4" s="254" t="s">
        <v>239</v>
      </c>
      <c r="M4" s="254" t="s">
        <v>160</v>
      </c>
      <c r="N4" s="254" t="s">
        <v>75</v>
      </c>
      <c r="O4" s="254" t="s">
        <v>1309</v>
      </c>
      <c r="P4" s="254" t="s">
        <v>208</v>
      </c>
      <c r="Q4" s="254" t="s">
        <v>33</v>
      </c>
      <c r="R4" s="254" t="s">
        <v>45</v>
      </c>
      <c r="S4" s="254" t="s">
        <v>190</v>
      </c>
      <c r="T4" s="254" t="s">
        <v>86</v>
      </c>
      <c r="U4" s="254" t="s">
        <v>11</v>
      </c>
      <c r="V4" s="254" t="s">
        <v>20</v>
      </c>
      <c r="W4" s="254" t="s">
        <v>65</v>
      </c>
      <c r="X4" s="254" t="s">
        <v>25</v>
      </c>
      <c r="Y4" s="254" t="s">
        <v>85</v>
      </c>
      <c r="Z4" s="254" t="s">
        <v>1308</v>
      </c>
      <c r="AA4" s="254" t="s">
        <v>36</v>
      </c>
      <c r="AB4" s="254" t="s">
        <v>1149</v>
      </c>
      <c r="AC4" s="254" t="s">
        <v>1253</v>
      </c>
      <c r="AD4" s="254" t="s">
        <v>78</v>
      </c>
      <c r="AE4" s="254" t="s">
        <v>473</v>
      </c>
      <c r="AF4" s="254" t="s">
        <v>275</v>
      </c>
    </row>
    <row r="5" spans="11:32">
      <c r="K5" s="21" t="s">
        <v>1733</v>
      </c>
      <c r="L5" s="8">
        <v>282615789.30352288</v>
      </c>
      <c r="M5" s="8">
        <v>2638153324.688199</v>
      </c>
      <c r="N5" s="8">
        <v>407811534.01041031</v>
      </c>
      <c r="O5" s="8">
        <v>518630073.89705819</v>
      </c>
      <c r="P5" s="8">
        <v>93172463.731571689</v>
      </c>
      <c r="Q5" s="8">
        <v>249962725.97785378</v>
      </c>
      <c r="R5" s="8">
        <v>18447922.012884483</v>
      </c>
      <c r="S5" s="8">
        <v>170355016.38802886</v>
      </c>
      <c r="T5" s="8">
        <v>164248378.63829842</v>
      </c>
      <c r="U5" s="8">
        <v>9133673.9201742243</v>
      </c>
      <c r="V5" s="8">
        <v>14025001.953401206</v>
      </c>
      <c r="W5" s="8">
        <v>16766029.704929488</v>
      </c>
      <c r="X5" s="8">
        <v>2688794.0993735516</v>
      </c>
      <c r="Y5" s="8">
        <v>6134573.0812351517</v>
      </c>
      <c r="Z5" s="8">
        <v>8258337.1798359761</v>
      </c>
      <c r="AA5" s="8">
        <v>3565580.4832342011</v>
      </c>
      <c r="AB5" s="8">
        <v>5889677.1823571241</v>
      </c>
      <c r="AC5" s="8">
        <v>8944468.2485605255</v>
      </c>
      <c r="AD5" s="8">
        <v>4511455.9570552995</v>
      </c>
      <c r="AE5" s="8"/>
      <c r="AF5" s="8">
        <v>4623314820.4579859</v>
      </c>
    </row>
    <row r="6" spans="11:32">
      <c r="K6" s="21" t="s">
        <v>1734</v>
      </c>
      <c r="L6" s="8">
        <v>155415689.71758109</v>
      </c>
      <c r="M6" s="8">
        <v>1143353738.2178941</v>
      </c>
      <c r="N6" s="8">
        <v>1798920608.5678015</v>
      </c>
      <c r="O6" s="8">
        <v>626737598.88859463</v>
      </c>
      <c r="P6" s="8">
        <v>394287054.36934555</v>
      </c>
      <c r="Q6" s="8">
        <v>197165019.29470092</v>
      </c>
      <c r="R6" s="8">
        <v>50942781.944843337</v>
      </c>
      <c r="S6" s="8">
        <v>297231158.67123061</v>
      </c>
      <c r="T6" s="8">
        <v>175215282.61344993</v>
      </c>
      <c r="U6" s="8">
        <v>60534019.228654742</v>
      </c>
      <c r="V6" s="8">
        <v>74527239.488271639</v>
      </c>
      <c r="W6" s="8">
        <v>89274733.657891616</v>
      </c>
      <c r="X6" s="8">
        <v>8107688.5783066181</v>
      </c>
      <c r="Y6" s="8">
        <v>50192786.610929944</v>
      </c>
      <c r="Z6" s="8">
        <v>25956910.005827431</v>
      </c>
      <c r="AA6" s="8">
        <v>10544219.980978552</v>
      </c>
      <c r="AB6" s="8">
        <v>19688093.854994126</v>
      </c>
      <c r="AC6" s="8">
        <v>24024398.32130073</v>
      </c>
      <c r="AD6" s="8">
        <v>14341160.243980229</v>
      </c>
      <c r="AE6" s="8"/>
      <c r="AF6" s="8">
        <v>5216460182.2565775</v>
      </c>
    </row>
    <row r="7" spans="11:32">
      <c r="K7" s="21" t="s">
        <v>1735</v>
      </c>
      <c r="L7" s="8">
        <v>2915524963.0427141</v>
      </c>
      <c r="M7" s="8">
        <v>1410038429.1406665</v>
      </c>
      <c r="N7" s="8">
        <v>1897703249.0521038</v>
      </c>
      <c r="O7" s="8">
        <v>249749739.05760866</v>
      </c>
      <c r="P7" s="8">
        <v>695574894.01146924</v>
      </c>
      <c r="Q7" s="8">
        <v>981524478.63368845</v>
      </c>
      <c r="R7" s="8">
        <v>53550902.503484726</v>
      </c>
      <c r="S7" s="8">
        <v>159753285.31732884</v>
      </c>
      <c r="T7" s="8">
        <v>156021829.88791552</v>
      </c>
      <c r="U7" s="8">
        <v>233622724.15583658</v>
      </c>
      <c r="V7" s="8">
        <v>172519375.61433196</v>
      </c>
      <c r="W7" s="8">
        <v>124161946.16683508</v>
      </c>
      <c r="X7" s="8">
        <v>148122815.50668252</v>
      </c>
      <c r="Y7" s="8">
        <v>72112183.417523161</v>
      </c>
      <c r="Z7" s="8">
        <v>32344318.824600488</v>
      </c>
      <c r="AA7" s="8">
        <v>24045484.89163065</v>
      </c>
      <c r="AB7" s="8">
        <v>38386094.088777535</v>
      </c>
      <c r="AC7" s="8">
        <v>30221429.467509247</v>
      </c>
      <c r="AD7" s="8">
        <v>28559752.236394145</v>
      </c>
      <c r="AE7" s="8">
        <v>31983969.233083043</v>
      </c>
      <c r="AF7" s="8">
        <v>9455521864.2501831</v>
      </c>
    </row>
    <row r="8" spans="11:32">
      <c r="K8" s="21" t="s">
        <v>1736</v>
      </c>
      <c r="L8" s="8">
        <v>2573158666.6666665</v>
      </c>
      <c r="M8" s="8">
        <v>2212390267.4958749</v>
      </c>
      <c r="N8" s="8">
        <v>1242509185.3116152</v>
      </c>
      <c r="O8" s="8">
        <v>249203595.05642924</v>
      </c>
      <c r="P8" s="8">
        <v>79303696.947995052</v>
      </c>
      <c r="Q8" s="8">
        <v>247764699.36626863</v>
      </c>
      <c r="R8" s="8">
        <v>10562266.821642622</v>
      </c>
      <c r="S8" s="8">
        <v>341499949.36626863</v>
      </c>
      <c r="T8" s="8">
        <v>205741349.36626866</v>
      </c>
      <c r="U8" s="8">
        <v>81196045.056429237</v>
      </c>
      <c r="V8" s="8">
        <v>61285548.299007379</v>
      </c>
      <c r="W8" s="8">
        <v>118640299.99999999</v>
      </c>
      <c r="X8" s="8">
        <v>1476000.0000000002</v>
      </c>
      <c r="Y8" s="8">
        <v>38064200</v>
      </c>
      <c r="Z8" s="8">
        <v>61104000</v>
      </c>
      <c r="AA8" s="8">
        <v>4167429.1871345108</v>
      </c>
      <c r="AB8" s="8">
        <v>26448000</v>
      </c>
      <c r="AC8" s="8">
        <v>5724000</v>
      </c>
      <c r="AD8" s="8">
        <v>1832884.1307052711</v>
      </c>
      <c r="AE8" s="8"/>
      <c r="AF8" s="8">
        <v>7562072083.0723057</v>
      </c>
    </row>
    <row r="9" spans="11:32">
      <c r="K9" s="21" t="s">
        <v>1737</v>
      </c>
      <c r="L9" s="8">
        <v>358953607.97725952</v>
      </c>
      <c r="M9" s="8">
        <v>1718914022.5332439</v>
      </c>
      <c r="N9" s="8">
        <v>150114195.82542163</v>
      </c>
      <c r="O9" s="8">
        <v>1702405414.7364943</v>
      </c>
      <c r="P9" s="8">
        <v>874842131.2961607</v>
      </c>
      <c r="Q9" s="8">
        <v>152607118.328677</v>
      </c>
      <c r="R9" s="8">
        <v>16481625.586637463</v>
      </c>
      <c r="S9" s="8">
        <v>513428449.13802648</v>
      </c>
      <c r="T9" s="8">
        <v>57839262.294362858</v>
      </c>
      <c r="U9" s="8">
        <v>118762178.57612064</v>
      </c>
      <c r="V9" s="8">
        <v>175357232.20027563</v>
      </c>
      <c r="W9" s="8">
        <v>4801980.2951579848</v>
      </c>
      <c r="X9" s="8">
        <v>31274.798295726188</v>
      </c>
      <c r="Y9" s="8">
        <v>3935032.3142746394</v>
      </c>
      <c r="Z9" s="8">
        <v>185037.84449548592</v>
      </c>
      <c r="AA9" s="8">
        <v>4723416.4823720213</v>
      </c>
      <c r="AB9" s="8">
        <v>24509.586869293809</v>
      </c>
      <c r="AC9" s="8">
        <v>365070.55446102156</v>
      </c>
      <c r="AD9" s="8">
        <v>639684.29002486425</v>
      </c>
      <c r="AE9" s="8"/>
      <c r="AF9" s="8">
        <v>5854411244.6586313</v>
      </c>
    </row>
    <row r="10" spans="11:32">
      <c r="K10" s="21" t="s">
        <v>1738</v>
      </c>
      <c r="L10" s="8">
        <v>5910600923.6745558</v>
      </c>
      <c r="M10" s="8">
        <v>3416011558.4086218</v>
      </c>
      <c r="N10" s="8">
        <v>509763338.97359699</v>
      </c>
      <c r="O10" s="8">
        <v>2095720871.4256406</v>
      </c>
      <c r="P10" s="8">
        <v>201076315.00807059</v>
      </c>
      <c r="Q10" s="8">
        <v>715768352.78649497</v>
      </c>
      <c r="R10" s="8">
        <v>5547975.4562270762</v>
      </c>
      <c r="S10" s="8">
        <v>341659535.22502196</v>
      </c>
      <c r="T10" s="8">
        <v>8687866.5383760445</v>
      </c>
      <c r="U10" s="8">
        <v>121724100.7529822</v>
      </c>
      <c r="V10" s="8">
        <v>103878760.13198657</v>
      </c>
      <c r="W10" s="8">
        <v>32783771.578132838</v>
      </c>
      <c r="X10" s="8">
        <v>552329.02463236789</v>
      </c>
      <c r="Y10" s="8">
        <v>861554.83273886971</v>
      </c>
      <c r="Z10" s="8">
        <v>1585117.7201007521</v>
      </c>
      <c r="AA10" s="8">
        <v>1463411.4094194714</v>
      </c>
      <c r="AB10" s="8">
        <v>1009993.7694223631</v>
      </c>
      <c r="AC10" s="8">
        <v>1855297.7469247044</v>
      </c>
      <c r="AD10" s="8">
        <v>918819.74493672303</v>
      </c>
      <c r="AE10" s="8"/>
      <c r="AF10" s="8">
        <v>13471469894.207882</v>
      </c>
    </row>
    <row r="11" spans="11:32">
      <c r="K11" s="21" t="s">
        <v>1739</v>
      </c>
      <c r="L11" s="8">
        <v>4471211247.6594467</v>
      </c>
      <c r="M11" s="8">
        <v>2919963699.9885831</v>
      </c>
      <c r="N11" s="8">
        <v>2486859627.638073</v>
      </c>
      <c r="O11" s="8">
        <v>646096829.55740631</v>
      </c>
      <c r="P11" s="8">
        <v>148417519.08790463</v>
      </c>
      <c r="Q11" s="8">
        <v>106768304.83375546</v>
      </c>
      <c r="R11" s="8">
        <v>2501270383.5083776</v>
      </c>
      <c r="S11" s="8">
        <v>45567062.575974233</v>
      </c>
      <c r="T11" s="8">
        <v>75522848.169592783</v>
      </c>
      <c r="U11" s="8">
        <v>151278491.75067273</v>
      </c>
      <c r="V11" s="8">
        <v>48105731.645041831</v>
      </c>
      <c r="W11" s="8">
        <v>77277368.884073943</v>
      </c>
      <c r="X11" s="8">
        <v>314592.81501648971</v>
      </c>
      <c r="Y11" s="8">
        <v>49805300.584930412</v>
      </c>
      <c r="Z11" s="8">
        <v>1343355.5601474792</v>
      </c>
      <c r="AA11" s="8">
        <v>3504997.8408314204</v>
      </c>
      <c r="AB11" s="8">
        <v>560288.00797334826</v>
      </c>
      <c r="AC11" s="8">
        <v>2010673.026320203</v>
      </c>
      <c r="AD11" s="8">
        <v>587328.20195334824</v>
      </c>
      <c r="AE11" s="8"/>
      <c r="AF11" s="8">
        <v>13736465651.336077</v>
      </c>
    </row>
    <row r="12" spans="11:32">
      <c r="K12" s="21" t="s">
        <v>1740</v>
      </c>
      <c r="L12" s="8">
        <v>2244093231.6300707</v>
      </c>
      <c r="M12" s="8">
        <v>3482397217.8106456</v>
      </c>
      <c r="N12" s="8">
        <v>252193375.00532991</v>
      </c>
      <c r="O12" s="8">
        <v>463793709.92393744</v>
      </c>
      <c r="P12" s="8">
        <v>183306353.46729437</v>
      </c>
      <c r="Q12" s="8">
        <v>38095064.228359938</v>
      </c>
      <c r="R12" s="8">
        <v>26591909.407580834</v>
      </c>
      <c r="S12" s="8">
        <v>350005146.30162692</v>
      </c>
      <c r="T12" s="8">
        <v>25092005.752775427</v>
      </c>
      <c r="U12" s="8">
        <v>35666204.398086138</v>
      </c>
      <c r="V12" s="8">
        <v>21010612.790162455</v>
      </c>
      <c r="W12" s="8">
        <v>31908707.22074154</v>
      </c>
      <c r="X12" s="8">
        <v>4947296.4683510521</v>
      </c>
      <c r="Y12" s="8">
        <v>9610746.1406879891</v>
      </c>
      <c r="Z12" s="8">
        <v>17303249.446194537</v>
      </c>
      <c r="AA12" s="8">
        <v>5201103.7038304145</v>
      </c>
      <c r="AB12" s="8">
        <v>11126567.57786512</v>
      </c>
      <c r="AC12" s="8">
        <v>19357474.236835949</v>
      </c>
      <c r="AD12" s="8">
        <v>8832285.1787148248</v>
      </c>
      <c r="AE12" s="8"/>
      <c r="AF12" s="8">
        <v>7230532260.6890907</v>
      </c>
    </row>
    <row r="13" spans="11:32">
      <c r="K13" s="21" t="s">
        <v>1741</v>
      </c>
      <c r="L13" s="8">
        <v>5621537986.3139038</v>
      </c>
      <c r="M13" s="8">
        <v>2102972480.7752841</v>
      </c>
      <c r="N13" s="8">
        <v>100626951.46238804</v>
      </c>
      <c r="O13" s="8">
        <v>8318977.8520493582</v>
      </c>
      <c r="P13" s="8">
        <v>106836891.80083171</v>
      </c>
      <c r="Q13" s="8">
        <v>68040379.178384438</v>
      </c>
      <c r="R13" s="8">
        <v>28092190.225582153</v>
      </c>
      <c r="S13" s="8">
        <v>41613527.375694379</v>
      </c>
      <c r="T13" s="8">
        <v>682530866.88448155</v>
      </c>
      <c r="U13" s="8">
        <v>2023013.8552251642</v>
      </c>
      <c r="V13" s="8">
        <v>57315790.459958151</v>
      </c>
      <c r="W13" s="8">
        <v>3419158.775511716</v>
      </c>
      <c r="X13" s="8">
        <v>215575698.28849706</v>
      </c>
      <c r="Y13" s="8"/>
      <c r="Z13" s="8"/>
      <c r="AA13" s="8">
        <v>75197352.84902595</v>
      </c>
      <c r="AB13" s="8">
        <v>1323571.720504326</v>
      </c>
      <c r="AC13" s="8">
        <v>2680682.6502426923</v>
      </c>
      <c r="AD13" s="8">
        <v>303377.93570895126</v>
      </c>
      <c r="AE13" s="8">
        <v>4992229.4915375626</v>
      </c>
      <c r="AF13" s="8">
        <v>9123401127.8948116</v>
      </c>
    </row>
    <row r="14" spans="11:32">
      <c r="K14" s="21" t="s">
        <v>275</v>
      </c>
      <c r="L14" s="8">
        <v>24533112105.985722</v>
      </c>
      <c r="M14" s="8">
        <v>21044194739.059013</v>
      </c>
      <c r="N14" s="8">
        <v>8846502065.8467407</v>
      </c>
      <c r="O14" s="8">
        <v>6560656810.3952188</v>
      </c>
      <c r="P14" s="8">
        <v>2776817319.720643</v>
      </c>
      <c r="Q14" s="8">
        <v>2757696142.6281838</v>
      </c>
      <c r="R14" s="8">
        <v>2711487957.4672604</v>
      </c>
      <c r="S14" s="8">
        <v>2261113130.359201</v>
      </c>
      <c r="T14" s="8">
        <v>1550899690.1455212</v>
      </c>
      <c r="U14" s="8">
        <v>813940451.6941818</v>
      </c>
      <c r="V14" s="8">
        <v>728025292.58243692</v>
      </c>
      <c r="W14" s="8">
        <v>499033996.28327417</v>
      </c>
      <c r="X14" s="8">
        <v>381816489.57915539</v>
      </c>
      <c r="Y14" s="8">
        <v>230716376.98232019</v>
      </c>
      <c r="Z14" s="8">
        <v>148080326.58120215</v>
      </c>
      <c r="AA14" s="8">
        <v>132412996.82845719</v>
      </c>
      <c r="AB14" s="8">
        <v>104456795.78876325</v>
      </c>
      <c r="AC14" s="8">
        <v>95183494.252155066</v>
      </c>
      <c r="AD14" s="8">
        <v>60526747.919473663</v>
      </c>
      <c r="AE14" s="8">
        <v>36976198.724620603</v>
      </c>
      <c r="AF14" s="8">
        <v>76273649128.823532</v>
      </c>
    </row>
    <row r="15" spans="11:32">
      <c r="K15"/>
      <c r="L15"/>
      <c r="M15"/>
      <c r="N15"/>
      <c r="O15"/>
      <c r="P15"/>
      <c r="Q15"/>
      <c r="R15"/>
      <c r="S15"/>
      <c r="T15"/>
      <c r="U15"/>
      <c r="V15"/>
      <c r="W15"/>
      <c r="X15"/>
      <c r="Y15"/>
      <c r="Z15"/>
      <c r="AA15"/>
      <c r="AB15"/>
      <c r="AC15"/>
      <c r="AD15"/>
      <c r="AE15"/>
      <c r="AF15"/>
    </row>
    <row r="16" spans="11:32">
      <c r="K16"/>
      <c r="L16"/>
    </row>
    <row r="17" spans="11:12">
      <c r="K17"/>
      <c r="L17"/>
    </row>
    <row r="18" spans="11:12">
      <c r="K18"/>
      <c r="L18"/>
    </row>
    <row r="19" spans="11:12">
      <c r="K19"/>
      <c r="L19"/>
    </row>
    <row r="20" spans="11:12">
      <c r="K20"/>
      <c r="L20"/>
    </row>
    <row r="21" spans="11:12">
      <c r="K21"/>
      <c r="L21"/>
    </row>
    <row r="22" spans="11:12">
      <c r="K22"/>
      <c r="L22"/>
    </row>
    <row r="23" spans="11:12">
      <c r="K23"/>
      <c r="L23"/>
    </row>
    <row r="24" spans="11:12">
      <c r="K24"/>
      <c r="L24"/>
    </row>
    <row r="25" spans="11:12">
      <c r="K25"/>
      <c r="L25"/>
    </row>
    <row r="26" spans="11:12">
      <c r="K26"/>
      <c r="L26"/>
    </row>
    <row r="27" spans="11:12">
      <c r="K27"/>
      <c r="L27"/>
    </row>
    <row r="28" spans="11:12">
      <c r="K28"/>
      <c r="L28"/>
    </row>
    <row r="29" spans="11:12">
      <c r="K29"/>
      <c r="L29"/>
    </row>
    <row r="30" spans="11:12">
      <c r="K30"/>
      <c r="L30"/>
    </row>
    <row r="31" spans="11:12">
      <c r="K31"/>
      <c r="L31"/>
    </row>
    <row r="32" spans="11:12">
      <c r="K32"/>
      <c r="L32"/>
    </row>
    <row r="33" spans="11:12">
      <c r="K33"/>
      <c r="L33"/>
    </row>
    <row r="34" spans="11:12">
      <c r="K34"/>
      <c r="L34"/>
    </row>
    <row r="35" spans="11:12">
      <c r="K35"/>
      <c r="L35"/>
    </row>
    <row r="36" spans="11:12">
      <c r="K36"/>
      <c r="L36"/>
    </row>
    <row r="37" spans="11:12">
      <c r="K37"/>
      <c r="L37"/>
    </row>
    <row r="38" spans="11:12">
      <c r="K38"/>
      <c r="L38"/>
    </row>
    <row r="39" spans="11:12">
      <c r="K39"/>
      <c r="L39"/>
    </row>
    <row r="40" spans="11:12">
      <c r="K40"/>
      <c r="L40"/>
    </row>
    <row r="41" spans="11:12">
      <c r="K41"/>
      <c r="L41"/>
    </row>
    <row r="42" spans="11:12">
      <c r="K42"/>
      <c r="L42"/>
    </row>
    <row r="43" spans="11:12">
      <c r="K43"/>
      <c r="L43"/>
    </row>
    <row r="44" spans="11:12">
      <c r="K44"/>
      <c r="L44"/>
    </row>
    <row r="45" spans="11:12">
      <c r="K45"/>
      <c r="L45"/>
    </row>
    <row r="46" spans="11:12">
      <c r="K46"/>
      <c r="L46"/>
    </row>
    <row r="47" spans="11:12">
      <c r="K47"/>
      <c r="L47"/>
    </row>
    <row r="48" spans="11:12">
      <c r="K48"/>
      <c r="L48"/>
    </row>
    <row r="49" spans="11:12">
      <c r="K49"/>
      <c r="L49"/>
    </row>
    <row r="50" spans="11:12">
      <c r="K50"/>
      <c r="L50"/>
    </row>
    <row r="51" spans="11:12">
      <c r="K51"/>
      <c r="L51"/>
    </row>
    <row r="52" spans="11:12">
      <c r="K52"/>
      <c r="L52"/>
    </row>
    <row r="53" spans="11:12">
      <c r="K53"/>
      <c r="L53"/>
    </row>
    <row r="54" spans="11:12">
      <c r="K54"/>
      <c r="L54"/>
    </row>
    <row r="55" spans="11:12">
      <c r="K55"/>
      <c r="L55"/>
    </row>
    <row r="56" spans="11:12">
      <c r="K56"/>
      <c r="L56"/>
    </row>
    <row r="57" spans="11:12">
      <c r="K57"/>
      <c r="L57"/>
    </row>
    <row r="58" spans="11:12">
      <c r="K58"/>
      <c r="L58"/>
    </row>
    <row r="59" spans="11:12">
      <c r="K59"/>
      <c r="L59"/>
    </row>
    <row r="60" spans="11:12">
      <c r="K60"/>
      <c r="L60"/>
    </row>
    <row r="61" spans="11:12">
      <c r="K61"/>
      <c r="L61"/>
    </row>
    <row r="62" spans="11:12">
      <c r="K62"/>
      <c r="L62"/>
    </row>
    <row r="63" spans="11:12">
      <c r="K63"/>
      <c r="L63"/>
    </row>
    <row r="64" spans="11:12">
      <c r="K64"/>
      <c r="L64"/>
    </row>
    <row r="65" spans="11:12">
      <c r="K65"/>
      <c r="L65"/>
    </row>
    <row r="66" spans="11:12">
      <c r="K66"/>
      <c r="L66"/>
    </row>
    <row r="67" spans="11:12">
      <c r="K67"/>
      <c r="L67"/>
    </row>
    <row r="68" spans="11:12">
      <c r="K68"/>
      <c r="L68"/>
    </row>
    <row r="69" spans="11:12">
      <c r="K69"/>
      <c r="L69"/>
    </row>
    <row r="70" spans="11:12">
      <c r="K70"/>
      <c r="L70"/>
    </row>
    <row r="71" spans="11:12">
      <c r="K71"/>
      <c r="L71"/>
    </row>
    <row r="72" spans="11:12">
      <c r="K72"/>
      <c r="L72"/>
    </row>
    <row r="73" spans="11:12">
      <c r="K73"/>
      <c r="L73"/>
    </row>
    <row r="74" spans="11:12">
      <c r="K74"/>
      <c r="L74"/>
    </row>
    <row r="75" spans="11:12">
      <c r="K75"/>
      <c r="L75"/>
    </row>
    <row r="76" spans="11:12">
      <c r="K76"/>
      <c r="L76"/>
    </row>
    <row r="77" spans="11:12">
      <c r="K77"/>
      <c r="L77"/>
    </row>
    <row r="78" spans="11:12">
      <c r="K78"/>
      <c r="L78"/>
    </row>
    <row r="79" spans="11:12">
      <c r="K79"/>
      <c r="L79"/>
    </row>
    <row r="80" spans="11:12">
      <c r="K80"/>
      <c r="L80"/>
    </row>
    <row r="81" spans="11:12">
      <c r="K81"/>
      <c r="L81"/>
    </row>
    <row r="82" spans="11:12">
      <c r="K82"/>
      <c r="L82"/>
    </row>
    <row r="83" spans="11:12">
      <c r="K83"/>
      <c r="L83"/>
    </row>
    <row r="84" spans="11:12">
      <c r="K84"/>
      <c r="L84"/>
    </row>
    <row r="85" spans="11:12">
      <c r="K85"/>
      <c r="L85"/>
    </row>
    <row r="86" spans="11:12">
      <c r="K86"/>
      <c r="L86"/>
    </row>
    <row r="87" spans="11:12">
      <c r="K87"/>
      <c r="L87"/>
    </row>
    <row r="88" spans="11:12">
      <c r="K88"/>
      <c r="L88"/>
    </row>
    <row r="89" spans="11:12">
      <c r="K89"/>
      <c r="L89"/>
    </row>
    <row r="90" spans="11:12">
      <c r="K90"/>
      <c r="L90"/>
    </row>
    <row r="91" spans="11:12">
      <c r="K91"/>
      <c r="L91"/>
    </row>
    <row r="92" spans="11:12">
      <c r="K92"/>
      <c r="L92"/>
    </row>
    <row r="93" spans="11:12">
      <c r="K93"/>
      <c r="L93"/>
    </row>
    <row r="94" spans="11:12">
      <c r="K94"/>
      <c r="L94"/>
    </row>
    <row r="95" spans="11:12">
      <c r="K95"/>
      <c r="L95"/>
    </row>
    <row r="96" spans="11:12">
      <c r="K96"/>
      <c r="L96"/>
    </row>
    <row r="97" spans="11:12">
      <c r="K97"/>
      <c r="L97"/>
    </row>
    <row r="98" spans="11:12">
      <c r="K98"/>
      <c r="L98"/>
    </row>
    <row r="99" spans="11:12">
      <c r="K99"/>
      <c r="L99"/>
    </row>
    <row r="100" spans="11:12">
      <c r="K100"/>
      <c r="L100"/>
    </row>
    <row r="101" spans="11:12">
      <c r="K101"/>
      <c r="L101"/>
    </row>
    <row r="102" spans="11:12">
      <c r="K102"/>
      <c r="L102"/>
    </row>
    <row r="103" spans="11:12">
      <c r="K103"/>
      <c r="L103"/>
    </row>
    <row r="104" spans="11:12">
      <c r="K104"/>
      <c r="L104"/>
    </row>
    <row r="105" spans="11:12">
      <c r="K105"/>
      <c r="L105"/>
    </row>
    <row r="106" spans="11:12">
      <c r="K106"/>
      <c r="L106"/>
    </row>
    <row r="107" spans="11:12">
      <c r="K107"/>
      <c r="L107"/>
    </row>
    <row r="108" spans="11:12">
      <c r="K108"/>
      <c r="L108"/>
    </row>
    <row r="109" spans="11:12">
      <c r="K109"/>
      <c r="L109"/>
    </row>
    <row r="110" spans="11:12">
      <c r="K110"/>
      <c r="L110"/>
    </row>
    <row r="111" spans="11:12">
      <c r="K111"/>
      <c r="L111"/>
    </row>
    <row r="112" spans="11:12">
      <c r="K112"/>
      <c r="L112"/>
    </row>
    <row r="113" spans="11:12">
      <c r="K113"/>
      <c r="L113"/>
    </row>
    <row r="114" spans="11:12">
      <c r="K114"/>
      <c r="L114"/>
    </row>
    <row r="115" spans="11:12">
      <c r="K115"/>
      <c r="L115"/>
    </row>
    <row r="116" spans="11:12">
      <c r="K116"/>
      <c r="L116"/>
    </row>
    <row r="117" spans="11:12">
      <c r="K117"/>
      <c r="L117"/>
    </row>
    <row r="118" spans="11:12">
      <c r="K118"/>
      <c r="L118"/>
    </row>
    <row r="119" spans="11:12">
      <c r="K119"/>
      <c r="L119"/>
    </row>
    <row r="120" spans="11:12">
      <c r="K120"/>
      <c r="L120"/>
    </row>
    <row r="121" spans="11:12">
      <c r="K121"/>
      <c r="L121"/>
    </row>
    <row r="122" spans="11:12">
      <c r="K122"/>
      <c r="L122"/>
    </row>
    <row r="123" spans="11:12">
      <c r="K123"/>
      <c r="L123"/>
    </row>
    <row r="124" spans="11:12">
      <c r="K124"/>
      <c r="L124"/>
    </row>
    <row r="125" spans="11:12">
      <c r="K125"/>
      <c r="L125"/>
    </row>
    <row r="126" spans="11:12">
      <c r="K126"/>
      <c r="L126"/>
    </row>
    <row r="127" spans="11:12">
      <c r="K127"/>
      <c r="L127"/>
    </row>
    <row r="128" spans="11:12">
      <c r="K128"/>
      <c r="L128"/>
    </row>
    <row r="129" spans="11:12">
      <c r="K129"/>
      <c r="L129"/>
    </row>
    <row r="130" spans="11:12">
      <c r="K130"/>
      <c r="L130"/>
    </row>
    <row r="131" spans="11:12">
      <c r="K131"/>
      <c r="L131"/>
    </row>
    <row r="132" spans="11:12">
      <c r="K132"/>
      <c r="L132"/>
    </row>
    <row r="133" spans="11:12">
      <c r="K133"/>
      <c r="L133"/>
    </row>
    <row r="134" spans="11:12">
      <c r="K134"/>
      <c r="L134"/>
    </row>
    <row r="135" spans="11:12">
      <c r="K135"/>
      <c r="L135"/>
    </row>
    <row r="136" spans="11:12">
      <c r="K136"/>
      <c r="L136"/>
    </row>
    <row r="137" spans="11:12">
      <c r="K137"/>
      <c r="L137"/>
    </row>
    <row r="138" spans="11:12">
      <c r="K138"/>
      <c r="L138"/>
    </row>
    <row r="139" spans="11:12">
      <c r="K139"/>
      <c r="L139"/>
    </row>
    <row r="140" spans="11:12">
      <c r="K140"/>
      <c r="L140"/>
    </row>
    <row r="141" spans="11:12">
      <c r="K141"/>
      <c r="L141"/>
    </row>
    <row r="142" spans="11:12">
      <c r="K142"/>
      <c r="L142"/>
    </row>
    <row r="143" spans="11:12">
      <c r="K143"/>
      <c r="L143"/>
    </row>
    <row r="144" spans="11:12">
      <c r="K144"/>
      <c r="L144"/>
    </row>
    <row r="145" spans="11:12">
      <c r="K145"/>
      <c r="L145"/>
    </row>
    <row r="146" spans="11:12">
      <c r="K146"/>
      <c r="L146"/>
    </row>
    <row r="147" spans="11:12">
      <c r="K147"/>
      <c r="L147"/>
    </row>
    <row r="148" spans="11:12">
      <c r="K148"/>
      <c r="L148"/>
    </row>
    <row r="149" spans="11:12">
      <c r="K149"/>
      <c r="L149"/>
    </row>
    <row r="150" spans="11:12">
      <c r="K150"/>
      <c r="L150"/>
    </row>
    <row r="151" spans="11:12">
      <c r="K151"/>
      <c r="L151"/>
    </row>
    <row r="152" spans="11:12">
      <c r="K152"/>
      <c r="L152"/>
    </row>
    <row r="153" spans="11:12">
      <c r="K153"/>
      <c r="L153"/>
    </row>
    <row r="154" spans="11:12">
      <c r="K154"/>
      <c r="L154"/>
    </row>
    <row r="155" spans="11:12">
      <c r="K155"/>
      <c r="L155"/>
    </row>
    <row r="156" spans="11:12">
      <c r="K156"/>
      <c r="L156"/>
    </row>
    <row r="157" spans="11:12">
      <c r="K157"/>
      <c r="L157"/>
    </row>
    <row r="158" spans="11:12">
      <c r="K158"/>
      <c r="L158"/>
    </row>
    <row r="159" spans="11:12">
      <c r="K159"/>
      <c r="L159"/>
    </row>
    <row r="160" spans="11:12">
      <c r="K160"/>
      <c r="L160"/>
    </row>
    <row r="161" spans="11:12">
      <c r="K161"/>
      <c r="L161"/>
    </row>
    <row r="162" spans="11:12">
      <c r="K162"/>
      <c r="L162"/>
    </row>
    <row r="163" spans="11:12">
      <c r="K163"/>
      <c r="L163"/>
    </row>
    <row r="164" spans="11:12">
      <c r="K164"/>
      <c r="L164"/>
    </row>
    <row r="165" spans="11:12">
      <c r="K165"/>
      <c r="L165"/>
    </row>
    <row r="166" spans="11:12">
      <c r="K166"/>
      <c r="L166"/>
    </row>
    <row r="167" spans="11:12">
      <c r="K167"/>
      <c r="L167"/>
    </row>
    <row r="168" spans="11:12">
      <c r="K168"/>
      <c r="L168"/>
    </row>
    <row r="169" spans="11:12">
      <c r="K169"/>
      <c r="L169"/>
    </row>
    <row r="170" spans="11:12">
      <c r="K170"/>
      <c r="L170"/>
    </row>
    <row r="171" spans="11:12">
      <c r="K171"/>
      <c r="L171"/>
    </row>
    <row r="172" spans="11:12">
      <c r="K172"/>
      <c r="L172"/>
    </row>
    <row r="173" spans="11:12">
      <c r="K173"/>
      <c r="L173"/>
    </row>
    <row r="174" spans="11:12">
      <c r="K174"/>
      <c r="L174"/>
    </row>
    <row r="175" spans="11:12">
      <c r="K175"/>
      <c r="L175"/>
    </row>
    <row r="176" spans="11:12">
      <c r="K176"/>
      <c r="L176"/>
    </row>
    <row r="177" spans="11:12">
      <c r="K177"/>
      <c r="L177"/>
    </row>
    <row r="178" spans="11:12">
      <c r="K178"/>
      <c r="L178"/>
    </row>
    <row r="179" spans="11:12">
      <c r="K179"/>
      <c r="L179"/>
    </row>
    <row r="180" spans="11:12">
      <c r="K180"/>
      <c r="L180"/>
    </row>
    <row r="181" spans="11:12">
      <c r="K181"/>
      <c r="L181"/>
    </row>
    <row r="182" spans="11:12">
      <c r="K182"/>
      <c r="L182"/>
    </row>
    <row r="183" spans="11:12">
      <c r="K183"/>
      <c r="L183"/>
    </row>
    <row r="184" spans="11:12">
      <c r="K184"/>
      <c r="L184"/>
    </row>
    <row r="185" spans="11:12">
      <c r="K185"/>
      <c r="L185"/>
    </row>
    <row r="186" spans="11:12">
      <c r="K186"/>
      <c r="L186"/>
    </row>
    <row r="187" spans="11:12">
      <c r="K187"/>
      <c r="L187"/>
    </row>
    <row r="188" spans="11:12">
      <c r="K188"/>
      <c r="L188"/>
    </row>
    <row r="189" spans="11:12">
      <c r="K189"/>
      <c r="L189"/>
    </row>
    <row r="190" spans="11:12">
      <c r="K190"/>
      <c r="L190"/>
    </row>
    <row r="191" spans="11:12">
      <c r="K191"/>
      <c r="L191"/>
    </row>
    <row r="192" spans="11:12">
      <c r="K192"/>
      <c r="L192"/>
    </row>
    <row r="193" spans="11:12">
      <c r="K193"/>
      <c r="L193"/>
    </row>
    <row r="194" spans="11:12">
      <c r="K194"/>
      <c r="L194"/>
    </row>
    <row r="195" spans="11:12">
      <c r="K195"/>
      <c r="L195"/>
    </row>
    <row r="196" spans="11:12">
      <c r="K196"/>
      <c r="L196"/>
    </row>
    <row r="197" spans="11:12">
      <c r="K197"/>
      <c r="L197"/>
    </row>
    <row r="198" spans="11:12">
      <c r="K198"/>
      <c r="L198"/>
    </row>
    <row r="199" spans="11:12">
      <c r="K199"/>
      <c r="L199"/>
    </row>
    <row r="200" spans="11:12">
      <c r="K200"/>
      <c r="L200"/>
    </row>
    <row r="201" spans="11:12">
      <c r="K201"/>
      <c r="L201"/>
    </row>
    <row r="202" spans="11:12">
      <c r="K202"/>
      <c r="L202"/>
    </row>
    <row r="203" spans="11:12">
      <c r="K203"/>
      <c r="L203"/>
    </row>
    <row r="204" spans="11:12">
      <c r="K204"/>
      <c r="L204"/>
    </row>
    <row r="205" spans="11:12">
      <c r="K205"/>
      <c r="L205"/>
    </row>
    <row r="206" spans="11:12">
      <c r="K206"/>
      <c r="L206"/>
    </row>
    <row r="207" spans="11:12">
      <c r="K207"/>
      <c r="L207"/>
    </row>
    <row r="208" spans="11:12">
      <c r="K208"/>
      <c r="L208"/>
    </row>
    <row r="209" spans="11:12">
      <c r="K209"/>
      <c r="L209"/>
    </row>
    <row r="210" spans="11:12">
      <c r="K210"/>
      <c r="L210"/>
    </row>
    <row r="211" spans="11:12">
      <c r="K211"/>
      <c r="L211"/>
    </row>
    <row r="212" spans="11:12">
      <c r="K212"/>
      <c r="L212"/>
    </row>
    <row r="213" spans="11:12">
      <c r="K213"/>
      <c r="L213"/>
    </row>
    <row r="214" spans="11:12">
      <c r="K214"/>
      <c r="L214"/>
    </row>
    <row r="215" spans="11:12">
      <c r="K215"/>
      <c r="L215"/>
    </row>
    <row r="216" spans="11:12">
      <c r="K216"/>
      <c r="L216"/>
    </row>
    <row r="217" spans="11:12">
      <c r="K217"/>
      <c r="L217"/>
    </row>
    <row r="218" spans="11:12">
      <c r="K218"/>
      <c r="L218"/>
    </row>
    <row r="219" spans="11:12">
      <c r="K219"/>
      <c r="L219"/>
    </row>
    <row r="220" spans="11:12">
      <c r="K220"/>
      <c r="L220"/>
    </row>
    <row r="221" spans="11:12">
      <c r="K221"/>
      <c r="L221"/>
    </row>
    <row r="222" spans="11:12">
      <c r="K222"/>
      <c r="L222"/>
    </row>
    <row r="223" spans="11:12">
      <c r="K223"/>
      <c r="L223"/>
    </row>
    <row r="224" spans="11:12">
      <c r="K224"/>
      <c r="L224"/>
    </row>
    <row r="225" spans="11:12">
      <c r="K225"/>
      <c r="L225"/>
    </row>
    <row r="226" spans="11:12">
      <c r="K226"/>
      <c r="L226"/>
    </row>
    <row r="227" spans="11:12">
      <c r="K227"/>
      <c r="L227"/>
    </row>
    <row r="228" spans="11:12">
      <c r="K228"/>
      <c r="L228"/>
    </row>
    <row r="229" spans="11:12">
      <c r="K229"/>
      <c r="L229"/>
    </row>
    <row r="230" spans="11:12">
      <c r="K230"/>
      <c r="L230"/>
    </row>
    <row r="231" spans="11:12">
      <c r="K231"/>
      <c r="L231"/>
    </row>
    <row r="232" spans="11:12">
      <c r="K232"/>
      <c r="L232"/>
    </row>
    <row r="233" spans="11:12">
      <c r="K233"/>
      <c r="L233"/>
    </row>
    <row r="234" spans="11:12">
      <c r="K234"/>
      <c r="L234"/>
    </row>
    <row r="235" spans="11:12">
      <c r="K235"/>
      <c r="L235"/>
    </row>
    <row r="236" spans="11:12">
      <c r="K236"/>
      <c r="L236"/>
    </row>
    <row r="237" spans="11:12">
      <c r="K237"/>
      <c r="L237"/>
    </row>
    <row r="238" spans="11:12">
      <c r="K238"/>
      <c r="L238"/>
    </row>
    <row r="239" spans="11:12">
      <c r="K239"/>
      <c r="L239"/>
    </row>
    <row r="240" spans="11:12">
      <c r="K240"/>
      <c r="L240"/>
    </row>
    <row r="241" spans="11:12">
      <c r="K241"/>
      <c r="L241"/>
    </row>
    <row r="242" spans="11:12">
      <c r="K242"/>
      <c r="L242"/>
    </row>
    <row r="243" spans="11:12">
      <c r="K243"/>
      <c r="L243"/>
    </row>
    <row r="244" spans="11:12">
      <c r="K244"/>
      <c r="L244"/>
    </row>
    <row r="245" spans="11:12">
      <c r="K245"/>
      <c r="L245"/>
    </row>
    <row r="246" spans="11:12">
      <c r="K246"/>
      <c r="L246"/>
    </row>
    <row r="247" spans="11:12">
      <c r="K247"/>
      <c r="L247"/>
    </row>
    <row r="248" spans="11:12">
      <c r="K248"/>
      <c r="L248"/>
    </row>
    <row r="249" spans="11:12">
      <c r="K249"/>
      <c r="L249"/>
    </row>
    <row r="250" spans="11:12">
      <c r="K250"/>
      <c r="L250"/>
    </row>
    <row r="251" spans="11:12">
      <c r="K251"/>
      <c r="L251"/>
    </row>
    <row r="252" spans="11:12">
      <c r="K252"/>
      <c r="L252"/>
    </row>
    <row r="253" spans="11:12">
      <c r="K253"/>
      <c r="L253"/>
    </row>
    <row r="254" spans="11:12">
      <c r="K254"/>
      <c r="L254"/>
    </row>
    <row r="255" spans="11:12">
      <c r="K255"/>
      <c r="L255"/>
    </row>
    <row r="256" spans="11:12">
      <c r="K256"/>
      <c r="L256"/>
    </row>
    <row r="257" spans="11:12">
      <c r="K257"/>
      <c r="L257"/>
    </row>
    <row r="258" spans="11:12">
      <c r="K258"/>
      <c r="L258"/>
    </row>
    <row r="259" spans="11:12">
      <c r="K259"/>
      <c r="L259"/>
    </row>
    <row r="260" spans="11:12">
      <c r="K260"/>
      <c r="L260"/>
    </row>
    <row r="261" spans="11:12">
      <c r="K261"/>
      <c r="L261"/>
    </row>
    <row r="262" spans="11:12">
      <c r="K262"/>
      <c r="L262"/>
    </row>
    <row r="263" spans="11:12">
      <c r="K263"/>
      <c r="L263"/>
    </row>
    <row r="264" spans="11:12">
      <c r="K264"/>
      <c r="L264"/>
    </row>
    <row r="265" spans="11:12">
      <c r="K265"/>
      <c r="L265"/>
    </row>
    <row r="266" spans="11:12">
      <c r="K266"/>
      <c r="L266"/>
    </row>
    <row r="267" spans="11:12">
      <c r="K267"/>
      <c r="L267"/>
    </row>
    <row r="268" spans="11:12">
      <c r="K268"/>
      <c r="L268"/>
    </row>
    <row r="269" spans="11:12">
      <c r="K269"/>
      <c r="L269"/>
    </row>
    <row r="270" spans="11:12">
      <c r="K270"/>
      <c r="L270"/>
    </row>
    <row r="271" spans="11:12">
      <c r="K271"/>
      <c r="L271"/>
    </row>
    <row r="272" spans="11:12">
      <c r="K272"/>
      <c r="L272"/>
    </row>
    <row r="273" spans="11:12">
      <c r="K273"/>
      <c r="L273"/>
    </row>
    <row r="274" spans="11:12">
      <c r="K274"/>
      <c r="L274"/>
    </row>
    <row r="275" spans="11:12">
      <c r="K275"/>
      <c r="L275"/>
    </row>
    <row r="276" spans="11:12">
      <c r="K276"/>
      <c r="L276"/>
    </row>
    <row r="277" spans="11:12">
      <c r="K277"/>
      <c r="L277"/>
    </row>
    <row r="278" spans="11:12">
      <c r="K278"/>
      <c r="L278"/>
    </row>
    <row r="279" spans="11:12">
      <c r="K279"/>
      <c r="L279"/>
    </row>
    <row r="280" spans="11:12">
      <c r="K280"/>
      <c r="L280"/>
    </row>
    <row r="281" spans="11:12">
      <c r="K281"/>
      <c r="L281"/>
    </row>
    <row r="282" spans="11:12">
      <c r="K282"/>
      <c r="L282"/>
    </row>
    <row r="283" spans="11:12">
      <c r="K283"/>
      <c r="L283"/>
    </row>
    <row r="284" spans="11:12">
      <c r="K284"/>
      <c r="L284"/>
    </row>
    <row r="285" spans="11:12">
      <c r="K285"/>
      <c r="L285"/>
    </row>
    <row r="286" spans="11:12">
      <c r="K286"/>
      <c r="L286"/>
    </row>
    <row r="287" spans="11:12">
      <c r="K287"/>
      <c r="L287"/>
    </row>
    <row r="288" spans="11:12">
      <c r="K288"/>
      <c r="L288"/>
    </row>
    <row r="289" spans="11:12">
      <c r="K289"/>
      <c r="L289"/>
    </row>
    <row r="290" spans="11:12">
      <c r="K290"/>
      <c r="L290"/>
    </row>
    <row r="291" spans="11:12">
      <c r="K291"/>
      <c r="L291"/>
    </row>
    <row r="292" spans="11:12">
      <c r="K292"/>
      <c r="L292"/>
    </row>
    <row r="293" spans="11:12">
      <c r="K293"/>
      <c r="L293"/>
    </row>
    <row r="294" spans="11:12">
      <c r="K294"/>
      <c r="L294"/>
    </row>
    <row r="295" spans="11:12">
      <c r="K295"/>
      <c r="L295"/>
    </row>
    <row r="296" spans="11:12">
      <c r="K296"/>
      <c r="L296"/>
    </row>
    <row r="297" spans="11:12">
      <c r="K297"/>
      <c r="L297"/>
    </row>
    <row r="298" spans="11:12">
      <c r="K298"/>
      <c r="L298"/>
    </row>
    <row r="299" spans="11:12">
      <c r="K299"/>
      <c r="L299"/>
    </row>
    <row r="300" spans="11:12">
      <c r="K300"/>
      <c r="L300"/>
    </row>
    <row r="301" spans="11:12">
      <c r="K301"/>
      <c r="L301"/>
    </row>
    <row r="302" spans="11:12">
      <c r="K302"/>
      <c r="L302"/>
    </row>
    <row r="303" spans="11:12">
      <c r="K303"/>
      <c r="L303"/>
    </row>
    <row r="304" spans="11:12">
      <c r="K304"/>
      <c r="L304"/>
    </row>
    <row r="305" spans="11:12">
      <c r="K305"/>
      <c r="L305"/>
    </row>
    <row r="306" spans="11:12">
      <c r="K306"/>
      <c r="L306"/>
    </row>
    <row r="307" spans="11:12">
      <c r="K307"/>
      <c r="L307"/>
    </row>
    <row r="308" spans="11:12">
      <c r="K308"/>
      <c r="L308"/>
    </row>
    <row r="309" spans="11:12">
      <c r="K309"/>
      <c r="L309"/>
    </row>
    <row r="310" spans="11:12">
      <c r="K310"/>
      <c r="L310"/>
    </row>
    <row r="311" spans="11:12">
      <c r="K311"/>
      <c r="L311"/>
    </row>
    <row r="312" spans="11:12">
      <c r="K312"/>
      <c r="L312"/>
    </row>
    <row r="313" spans="11:12">
      <c r="K313"/>
      <c r="L313"/>
    </row>
    <row r="314" spans="11:12">
      <c r="K314"/>
      <c r="L314"/>
    </row>
    <row r="315" spans="11:12">
      <c r="K315"/>
      <c r="L315"/>
    </row>
    <row r="316" spans="11:12">
      <c r="K316"/>
      <c r="L316"/>
    </row>
    <row r="317" spans="11:12">
      <c r="K317"/>
      <c r="L317"/>
    </row>
    <row r="318" spans="11:12">
      <c r="K318"/>
      <c r="L318"/>
    </row>
    <row r="319" spans="11:12">
      <c r="K319"/>
      <c r="L319"/>
    </row>
    <row r="320" spans="11:12">
      <c r="K320"/>
      <c r="L320"/>
    </row>
    <row r="321" spans="11:12">
      <c r="K321"/>
      <c r="L321"/>
    </row>
    <row r="322" spans="11:12">
      <c r="K322"/>
      <c r="L322"/>
    </row>
    <row r="323" spans="11:12">
      <c r="K323"/>
      <c r="L323"/>
    </row>
    <row r="324" spans="11:12">
      <c r="K324"/>
      <c r="L324"/>
    </row>
    <row r="325" spans="11:12">
      <c r="K325"/>
      <c r="L325"/>
    </row>
    <row r="326" spans="11:12">
      <c r="K326"/>
      <c r="L326"/>
    </row>
    <row r="327" spans="11:12">
      <c r="K327"/>
      <c r="L327"/>
    </row>
    <row r="328" spans="11:12">
      <c r="K328"/>
      <c r="L328"/>
    </row>
    <row r="329" spans="11:12">
      <c r="K329"/>
      <c r="L329"/>
    </row>
    <row r="330" spans="11:12">
      <c r="K330"/>
      <c r="L330"/>
    </row>
    <row r="331" spans="11:12">
      <c r="K331"/>
      <c r="L331"/>
    </row>
    <row r="332" spans="11:12">
      <c r="K332"/>
      <c r="L332"/>
    </row>
    <row r="333" spans="11:12">
      <c r="K333"/>
      <c r="L333"/>
    </row>
    <row r="334" spans="11:12">
      <c r="K334"/>
      <c r="L334"/>
    </row>
    <row r="335" spans="11:12">
      <c r="K335"/>
      <c r="L335"/>
    </row>
    <row r="336" spans="11:12">
      <c r="K336"/>
      <c r="L336"/>
    </row>
    <row r="337" spans="11:12">
      <c r="K337"/>
      <c r="L337"/>
    </row>
    <row r="338" spans="11:12">
      <c r="K338"/>
      <c r="L338"/>
    </row>
    <row r="339" spans="11:12">
      <c r="K339"/>
      <c r="L339"/>
    </row>
    <row r="340" spans="11:12">
      <c r="K340"/>
      <c r="L340"/>
    </row>
    <row r="341" spans="11:12">
      <c r="K341"/>
      <c r="L341"/>
    </row>
    <row r="342" spans="11:12">
      <c r="K342"/>
      <c r="L342"/>
    </row>
    <row r="343" spans="11:12">
      <c r="K343"/>
      <c r="L343"/>
    </row>
    <row r="344" spans="11:12">
      <c r="K344"/>
      <c r="L344"/>
    </row>
    <row r="345" spans="11:12">
      <c r="K345"/>
      <c r="L345"/>
    </row>
    <row r="346" spans="11:12">
      <c r="K346"/>
      <c r="L346"/>
    </row>
    <row r="347" spans="11:12">
      <c r="K347"/>
      <c r="L347"/>
    </row>
    <row r="348" spans="11:12">
      <c r="K348"/>
      <c r="L348"/>
    </row>
    <row r="349" spans="11:12">
      <c r="K349"/>
      <c r="L349"/>
    </row>
    <row r="350" spans="11:12">
      <c r="K350"/>
      <c r="L350"/>
    </row>
    <row r="351" spans="11:12">
      <c r="K351"/>
      <c r="L351"/>
    </row>
    <row r="352" spans="11:12">
      <c r="K352"/>
      <c r="L352"/>
    </row>
    <row r="353" spans="11:12">
      <c r="K353"/>
      <c r="L353"/>
    </row>
    <row r="354" spans="11:12">
      <c r="K354"/>
      <c r="L354"/>
    </row>
    <row r="355" spans="11:12">
      <c r="K355"/>
      <c r="L355"/>
    </row>
    <row r="356" spans="11:12">
      <c r="K356"/>
      <c r="L356"/>
    </row>
    <row r="357" spans="11:12">
      <c r="K357"/>
      <c r="L357"/>
    </row>
    <row r="358" spans="11:12">
      <c r="K358"/>
      <c r="L358"/>
    </row>
    <row r="359" spans="11:12">
      <c r="K359"/>
      <c r="L359"/>
    </row>
    <row r="360" spans="11:12">
      <c r="K360"/>
      <c r="L360"/>
    </row>
    <row r="361" spans="11:12">
      <c r="K361"/>
      <c r="L361"/>
    </row>
    <row r="362" spans="11:12">
      <c r="K362"/>
      <c r="L362"/>
    </row>
    <row r="363" spans="11:12">
      <c r="K363"/>
      <c r="L363"/>
    </row>
    <row r="364" spans="11:12">
      <c r="K364"/>
      <c r="L364"/>
    </row>
    <row r="365" spans="11:12">
      <c r="K365"/>
      <c r="L365"/>
    </row>
    <row r="366" spans="11:12">
      <c r="K366"/>
      <c r="L366"/>
    </row>
    <row r="367" spans="11:12">
      <c r="K367"/>
      <c r="L367"/>
    </row>
    <row r="368" spans="11:12">
      <c r="K368"/>
      <c r="L368"/>
    </row>
    <row r="369" spans="11:12">
      <c r="K369"/>
      <c r="L369"/>
    </row>
    <row r="370" spans="11:12">
      <c r="K370"/>
      <c r="L370"/>
    </row>
    <row r="371" spans="11:12">
      <c r="K371"/>
      <c r="L371"/>
    </row>
    <row r="372" spans="11:12">
      <c r="K372"/>
      <c r="L372"/>
    </row>
    <row r="373" spans="11:12">
      <c r="K373"/>
      <c r="L373"/>
    </row>
    <row r="374" spans="11:12">
      <c r="K374"/>
      <c r="L374"/>
    </row>
    <row r="375" spans="11:12">
      <c r="K375"/>
      <c r="L375"/>
    </row>
    <row r="376" spans="11:12">
      <c r="K376"/>
      <c r="L376"/>
    </row>
    <row r="377" spans="11:12">
      <c r="K377"/>
      <c r="L377"/>
    </row>
    <row r="378" spans="11:12">
      <c r="K378"/>
      <c r="L378"/>
    </row>
    <row r="379" spans="11:12">
      <c r="K379"/>
      <c r="L379"/>
    </row>
    <row r="380" spans="11:12">
      <c r="K380"/>
      <c r="L380"/>
    </row>
    <row r="381" spans="11:12">
      <c r="K381"/>
      <c r="L381"/>
    </row>
    <row r="382" spans="11:12">
      <c r="K382"/>
      <c r="L382"/>
    </row>
    <row r="383" spans="11:12">
      <c r="K383"/>
      <c r="L383"/>
    </row>
    <row r="384" spans="11:12">
      <c r="K384"/>
      <c r="L384"/>
    </row>
    <row r="385" spans="11:12">
      <c r="K385"/>
      <c r="L385"/>
    </row>
    <row r="386" spans="11:12">
      <c r="K386"/>
      <c r="L386"/>
    </row>
    <row r="387" spans="11:12">
      <c r="K387"/>
      <c r="L387"/>
    </row>
    <row r="388" spans="11:12">
      <c r="K388"/>
      <c r="L388"/>
    </row>
    <row r="389" spans="11:12">
      <c r="K389"/>
      <c r="L389"/>
    </row>
    <row r="390" spans="11:12">
      <c r="K390"/>
      <c r="L390"/>
    </row>
    <row r="391" spans="11:12">
      <c r="K391"/>
      <c r="L391"/>
    </row>
    <row r="392" spans="11:12">
      <c r="K392"/>
      <c r="L392"/>
    </row>
    <row r="393" spans="11:12">
      <c r="K393"/>
      <c r="L393"/>
    </row>
    <row r="394" spans="11:12">
      <c r="K394"/>
      <c r="L394"/>
    </row>
    <row r="395" spans="11:12">
      <c r="K395"/>
      <c r="L395"/>
    </row>
    <row r="396" spans="11:12">
      <c r="K396"/>
      <c r="L396"/>
    </row>
    <row r="397" spans="11:12">
      <c r="K397"/>
      <c r="L397"/>
    </row>
    <row r="398" spans="11:12">
      <c r="K398"/>
      <c r="L398"/>
    </row>
    <row r="399" spans="11:12">
      <c r="K399"/>
      <c r="L399"/>
    </row>
    <row r="400" spans="11:12">
      <c r="K400"/>
      <c r="L400"/>
    </row>
    <row r="401" spans="11:12">
      <c r="K401"/>
      <c r="L401"/>
    </row>
    <row r="402" spans="11:12">
      <c r="K402"/>
      <c r="L402"/>
    </row>
    <row r="403" spans="11:12">
      <c r="K403"/>
      <c r="L403"/>
    </row>
    <row r="404" spans="11:12">
      <c r="K404"/>
      <c r="L404"/>
    </row>
    <row r="405" spans="11:12">
      <c r="K405"/>
      <c r="L405"/>
    </row>
    <row r="406" spans="11:12">
      <c r="K406"/>
      <c r="L406"/>
    </row>
    <row r="407" spans="11:12">
      <c r="K407"/>
      <c r="L407"/>
    </row>
    <row r="408" spans="11:12">
      <c r="K408"/>
      <c r="L408"/>
    </row>
    <row r="409" spans="11:12">
      <c r="K409"/>
      <c r="L409"/>
    </row>
    <row r="410" spans="11:12">
      <c r="K410"/>
      <c r="L410"/>
    </row>
    <row r="411" spans="11:12">
      <c r="K411"/>
      <c r="L411"/>
    </row>
    <row r="412" spans="11:12">
      <c r="K412"/>
      <c r="L412"/>
    </row>
    <row r="413" spans="11:12">
      <c r="K413"/>
      <c r="L413"/>
    </row>
    <row r="414" spans="11:12">
      <c r="K414"/>
      <c r="L414"/>
    </row>
    <row r="415" spans="11:12">
      <c r="K415"/>
      <c r="L415"/>
    </row>
    <row r="416" spans="11:12">
      <c r="K416"/>
      <c r="L416"/>
    </row>
    <row r="417" spans="11:12">
      <c r="K417"/>
      <c r="L417"/>
    </row>
    <row r="418" spans="11:12">
      <c r="K418"/>
      <c r="L418"/>
    </row>
    <row r="419" spans="11:12">
      <c r="K419"/>
      <c r="L419"/>
    </row>
    <row r="420" spans="11:12">
      <c r="K420"/>
      <c r="L420"/>
    </row>
    <row r="421" spans="11:12">
      <c r="K421"/>
      <c r="L421"/>
    </row>
    <row r="422" spans="11:12">
      <c r="K422"/>
      <c r="L422"/>
    </row>
    <row r="423" spans="11:12">
      <c r="K423"/>
      <c r="L423"/>
    </row>
    <row r="424" spans="11:12">
      <c r="K424"/>
      <c r="L424"/>
    </row>
    <row r="425" spans="11:12">
      <c r="K425"/>
      <c r="L425"/>
    </row>
    <row r="426" spans="11:12">
      <c r="K426"/>
      <c r="L426"/>
    </row>
    <row r="427" spans="11:12">
      <c r="K427"/>
      <c r="L427"/>
    </row>
    <row r="428" spans="11:12">
      <c r="K428"/>
      <c r="L428"/>
    </row>
    <row r="429" spans="11:12">
      <c r="K429"/>
      <c r="L429"/>
    </row>
    <row r="430" spans="11:12">
      <c r="K430"/>
      <c r="L430"/>
    </row>
    <row r="431" spans="11:12">
      <c r="K431"/>
      <c r="L431"/>
    </row>
    <row r="432" spans="11:12">
      <c r="K432"/>
      <c r="L432"/>
    </row>
    <row r="433" spans="11:12">
      <c r="K433"/>
      <c r="L433"/>
    </row>
    <row r="434" spans="11:12">
      <c r="K434"/>
      <c r="L434"/>
    </row>
    <row r="435" spans="11:12">
      <c r="K435"/>
      <c r="L435"/>
    </row>
    <row r="436" spans="11:12">
      <c r="K436"/>
      <c r="L436"/>
    </row>
    <row r="437" spans="11:12">
      <c r="K437"/>
      <c r="L437"/>
    </row>
    <row r="438" spans="11:12">
      <c r="K438"/>
      <c r="L438"/>
    </row>
    <row r="439" spans="11:12">
      <c r="K439"/>
      <c r="L439"/>
    </row>
    <row r="440" spans="11:12">
      <c r="K440"/>
      <c r="L440"/>
    </row>
    <row r="441" spans="11:12">
      <c r="K441"/>
      <c r="L441"/>
    </row>
    <row r="442" spans="11:12">
      <c r="K442"/>
      <c r="L442"/>
    </row>
    <row r="443" spans="11:12">
      <c r="K443"/>
      <c r="L443"/>
    </row>
    <row r="444" spans="11:12">
      <c r="K444"/>
      <c r="L444"/>
    </row>
    <row r="445" spans="11:12">
      <c r="K445"/>
      <c r="L445"/>
    </row>
    <row r="446" spans="11:12">
      <c r="K446"/>
      <c r="L446"/>
    </row>
    <row r="447" spans="11:12">
      <c r="K447"/>
      <c r="L447"/>
    </row>
    <row r="448" spans="11:12">
      <c r="K448"/>
      <c r="L448"/>
    </row>
    <row r="449" spans="11:12">
      <c r="K449"/>
      <c r="L449"/>
    </row>
    <row r="450" spans="11:12">
      <c r="K450"/>
      <c r="L450"/>
    </row>
    <row r="451" spans="11:12">
      <c r="K451"/>
      <c r="L451"/>
    </row>
    <row r="452" spans="11:12">
      <c r="K452"/>
      <c r="L452"/>
    </row>
    <row r="453" spans="11:12">
      <c r="K453"/>
      <c r="L453"/>
    </row>
    <row r="454" spans="11:12">
      <c r="K454"/>
      <c r="L454"/>
    </row>
    <row r="455" spans="11:12">
      <c r="K455"/>
      <c r="L455"/>
    </row>
    <row r="456" spans="11:12">
      <c r="K456"/>
      <c r="L456"/>
    </row>
    <row r="457" spans="11:12">
      <c r="K457"/>
      <c r="L457"/>
    </row>
    <row r="458" spans="11:12">
      <c r="K458"/>
      <c r="L458"/>
    </row>
    <row r="459" spans="11:12">
      <c r="K459"/>
      <c r="L459"/>
    </row>
    <row r="460" spans="11:12">
      <c r="K460"/>
      <c r="L460"/>
    </row>
    <row r="461" spans="11:12">
      <c r="K461"/>
      <c r="L461"/>
    </row>
    <row r="462" spans="11:12">
      <c r="K462"/>
      <c r="L462"/>
    </row>
    <row r="463" spans="11:12">
      <c r="K463"/>
      <c r="L463"/>
    </row>
    <row r="464" spans="11:12">
      <c r="K464"/>
      <c r="L464"/>
    </row>
    <row r="465" spans="11:12">
      <c r="K465"/>
      <c r="L465"/>
    </row>
    <row r="466" spans="11:12">
      <c r="K466"/>
      <c r="L466"/>
    </row>
    <row r="467" spans="11:12">
      <c r="K467"/>
      <c r="L467"/>
    </row>
    <row r="468" spans="11:12">
      <c r="K468"/>
      <c r="L468"/>
    </row>
    <row r="469" spans="11:12">
      <c r="K469"/>
      <c r="L469"/>
    </row>
    <row r="470" spans="11:12">
      <c r="K470"/>
      <c r="L470"/>
    </row>
    <row r="471" spans="11:12">
      <c r="K471"/>
      <c r="L471"/>
    </row>
    <row r="472" spans="11:12">
      <c r="K472"/>
      <c r="L472"/>
    </row>
    <row r="473" spans="11:12">
      <c r="K473"/>
      <c r="L473"/>
    </row>
    <row r="474" spans="11:12">
      <c r="K474"/>
      <c r="L474"/>
    </row>
    <row r="475" spans="11:12">
      <c r="K475"/>
      <c r="L475"/>
    </row>
    <row r="476" spans="11:12">
      <c r="K476"/>
      <c r="L476"/>
    </row>
    <row r="477" spans="11:12">
      <c r="K477"/>
      <c r="L477"/>
    </row>
    <row r="478" spans="11:12">
      <c r="K478"/>
      <c r="L478"/>
    </row>
    <row r="479" spans="11:12">
      <c r="K479"/>
      <c r="L479"/>
    </row>
    <row r="480" spans="11:12">
      <c r="K480"/>
      <c r="L480"/>
    </row>
    <row r="481" spans="11:12">
      <c r="K481"/>
      <c r="L481"/>
    </row>
    <row r="482" spans="11:12">
      <c r="K482"/>
      <c r="L482"/>
    </row>
    <row r="483" spans="11:12">
      <c r="K483"/>
      <c r="L483"/>
    </row>
    <row r="484" spans="11:12">
      <c r="K484"/>
      <c r="L484"/>
    </row>
    <row r="485" spans="11:12">
      <c r="K485"/>
      <c r="L485"/>
    </row>
    <row r="486" spans="11:12">
      <c r="K486"/>
      <c r="L486"/>
    </row>
    <row r="487" spans="11:12">
      <c r="K487"/>
      <c r="L487"/>
    </row>
    <row r="488" spans="11:12">
      <c r="K488"/>
      <c r="L488"/>
    </row>
    <row r="489" spans="11:12">
      <c r="K489"/>
      <c r="L489"/>
    </row>
    <row r="490" spans="11:12">
      <c r="K490"/>
      <c r="L490"/>
    </row>
    <row r="491" spans="11:12">
      <c r="K491"/>
      <c r="L491"/>
    </row>
    <row r="492" spans="11:12">
      <c r="K492"/>
      <c r="L492"/>
    </row>
    <row r="493" spans="11:12">
      <c r="K493"/>
      <c r="L493"/>
    </row>
    <row r="494" spans="11:12">
      <c r="K494"/>
      <c r="L494"/>
    </row>
    <row r="495" spans="11:12">
      <c r="K495"/>
      <c r="L495"/>
    </row>
    <row r="496" spans="11:12">
      <c r="K496"/>
      <c r="L496"/>
    </row>
    <row r="497" spans="11:12">
      <c r="K497"/>
      <c r="L497"/>
    </row>
    <row r="498" spans="11:12">
      <c r="K498"/>
      <c r="L498"/>
    </row>
    <row r="499" spans="11:12">
      <c r="K499"/>
      <c r="L499"/>
    </row>
    <row r="500" spans="11:12">
      <c r="K500"/>
      <c r="L500"/>
    </row>
    <row r="501" spans="11:12">
      <c r="K501"/>
      <c r="L501"/>
    </row>
    <row r="502" spans="11:12">
      <c r="K502"/>
      <c r="L502"/>
    </row>
    <row r="503" spans="11:12">
      <c r="K503"/>
      <c r="L503"/>
    </row>
    <row r="504" spans="11:12">
      <c r="K504"/>
      <c r="L504"/>
    </row>
    <row r="505" spans="11:12">
      <c r="K505"/>
      <c r="L505"/>
    </row>
    <row r="506" spans="11:12">
      <c r="K506"/>
      <c r="L506"/>
    </row>
    <row r="507" spans="11:12">
      <c r="K507"/>
      <c r="L507"/>
    </row>
    <row r="508" spans="11:12">
      <c r="K508"/>
      <c r="L508"/>
    </row>
    <row r="509" spans="11:12">
      <c r="K509"/>
      <c r="L509"/>
    </row>
    <row r="510" spans="11:12">
      <c r="K510"/>
      <c r="L510"/>
    </row>
    <row r="511" spans="11:12">
      <c r="K511"/>
      <c r="L511"/>
    </row>
    <row r="512" spans="11:12">
      <c r="K512"/>
      <c r="L512"/>
    </row>
    <row r="513" spans="11:12">
      <c r="K513"/>
      <c r="L513"/>
    </row>
    <row r="514" spans="11:12">
      <c r="K514"/>
      <c r="L514"/>
    </row>
    <row r="515" spans="11:12">
      <c r="K515"/>
      <c r="L515"/>
    </row>
    <row r="516" spans="11:12">
      <c r="K516"/>
      <c r="L516"/>
    </row>
    <row r="517" spans="11:12">
      <c r="K517"/>
      <c r="L517"/>
    </row>
    <row r="518" spans="11:12">
      <c r="K518"/>
      <c r="L518"/>
    </row>
    <row r="519" spans="11:12">
      <c r="K519"/>
      <c r="L519"/>
    </row>
    <row r="520" spans="11:12">
      <c r="K520"/>
      <c r="L520"/>
    </row>
    <row r="521" spans="11:12">
      <c r="K521"/>
      <c r="L521"/>
    </row>
    <row r="522" spans="11:12">
      <c r="K522"/>
      <c r="L522"/>
    </row>
    <row r="523" spans="11:12">
      <c r="K523"/>
      <c r="L523"/>
    </row>
    <row r="524" spans="11:12">
      <c r="K524"/>
      <c r="L524"/>
    </row>
    <row r="525" spans="11:12">
      <c r="K525"/>
      <c r="L525"/>
    </row>
    <row r="526" spans="11:12">
      <c r="K526"/>
      <c r="L526"/>
    </row>
    <row r="527" spans="11:12">
      <c r="K527"/>
      <c r="L527"/>
    </row>
    <row r="528" spans="11:12">
      <c r="K528"/>
      <c r="L528"/>
    </row>
    <row r="529" spans="11:12">
      <c r="K529"/>
      <c r="L529"/>
    </row>
    <row r="530" spans="11:12">
      <c r="K530"/>
      <c r="L530"/>
    </row>
    <row r="531" spans="11:12">
      <c r="K531"/>
      <c r="L531"/>
    </row>
    <row r="532" spans="11:12">
      <c r="K532"/>
      <c r="L532"/>
    </row>
    <row r="533" spans="11:12">
      <c r="K533"/>
      <c r="L533"/>
    </row>
    <row r="534" spans="11:12">
      <c r="K534"/>
      <c r="L534"/>
    </row>
    <row r="535" spans="11:12">
      <c r="K535"/>
      <c r="L535"/>
    </row>
    <row r="536" spans="11:12">
      <c r="K536"/>
      <c r="L536"/>
    </row>
    <row r="537" spans="11:12">
      <c r="K537"/>
      <c r="L537"/>
    </row>
    <row r="538" spans="11:12">
      <c r="K538"/>
      <c r="L538"/>
    </row>
    <row r="539" spans="11:12">
      <c r="K539"/>
      <c r="L539"/>
    </row>
    <row r="540" spans="11:12">
      <c r="K540"/>
      <c r="L540"/>
    </row>
    <row r="541" spans="11:12">
      <c r="K541"/>
      <c r="L541"/>
    </row>
    <row r="542" spans="11:12">
      <c r="K542"/>
      <c r="L542"/>
    </row>
    <row r="543" spans="11:12">
      <c r="K543"/>
      <c r="L543"/>
    </row>
    <row r="544" spans="11:12">
      <c r="K544"/>
      <c r="L544"/>
    </row>
    <row r="545" spans="11:12">
      <c r="K545"/>
      <c r="L545"/>
    </row>
    <row r="546" spans="11:12">
      <c r="K546"/>
      <c r="L546"/>
    </row>
    <row r="547" spans="11:12">
      <c r="K547"/>
      <c r="L547"/>
    </row>
    <row r="548" spans="11:12">
      <c r="K548"/>
      <c r="L548"/>
    </row>
    <row r="549" spans="11:12">
      <c r="K549"/>
      <c r="L549"/>
    </row>
    <row r="550" spans="11:12">
      <c r="K550"/>
      <c r="L550"/>
    </row>
    <row r="551" spans="11:12">
      <c r="K551"/>
      <c r="L551"/>
    </row>
    <row r="552" spans="11:12">
      <c r="K552"/>
      <c r="L552"/>
    </row>
    <row r="553" spans="11:12">
      <c r="K553"/>
      <c r="L553"/>
    </row>
    <row r="554" spans="11:12">
      <c r="K554"/>
      <c r="L554"/>
    </row>
    <row r="555" spans="11:12">
      <c r="K555"/>
      <c r="L555"/>
    </row>
    <row r="556" spans="11:12">
      <c r="K556"/>
      <c r="L556"/>
    </row>
    <row r="557" spans="11:12">
      <c r="K557"/>
      <c r="L557"/>
    </row>
    <row r="558" spans="11:12">
      <c r="K558"/>
      <c r="L558"/>
    </row>
    <row r="559" spans="11:12">
      <c r="K559"/>
      <c r="L559"/>
    </row>
    <row r="560" spans="11:12">
      <c r="K560"/>
      <c r="L560"/>
    </row>
    <row r="561" spans="11:12">
      <c r="K561"/>
      <c r="L561"/>
    </row>
    <row r="562" spans="11:12">
      <c r="K562"/>
      <c r="L562"/>
    </row>
    <row r="563" spans="11:12">
      <c r="K563"/>
      <c r="L563"/>
    </row>
    <row r="564" spans="11:12">
      <c r="K564"/>
      <c r="L564"/>
    </row>
    <row r="565" spans="11:12">
      <c r="K565"/>
      <c r="L565"/>
    </row>
    <row r="566" spans="11:12">
      <c r="K566"/>
      <c r="L566"/>
    </row>
    <row r="567" spans="11:12">
      <c r="K567"/>
      <c r="L567"/>
    </row>
    <row r="568" spans="11:12">
      <c r="K568"/>
      <c r="L568"/>
    </row>
    <row r="569" spans="11:12">
      <c r="K569"/>
      <c r="L569"/>
    </row>
    <row r="570" spans="11:12">
      <c r="K570"/>
      <c r="L570"/>
    </row>
    <row r="571" spans="11:12">
      <c r="K571"/>
      <c r="L571"/>
    </row>
    <row r="572" spans="11:12">
      <c r="K572"/>
      <c r="L572"/>
    </row>
    <row r="573" spans="11:12">
      <c r="K573"/>
      <c r="L573"/>
    </row>
    <row r="574" spans="11:12">
      <c r="K574"/>
      <c r="L574"/>
    </row>
    <row r="575" spans="11:12">
      <c r="K575"/>
      <c r="L575"/>
    </row>
    <row r="576" spans="11:12">
      <c r="K576"/>
      <c r="L576"/>
    </row>
    <row r="577" spans="11:12">
      <c r="K577"/>
      <c r="L577"/>
    </row>
    <row r="578" spans="11:12">
      <c r="K578"/>
      <c r="L578"/>
    </row>
    <row r="579" spans="11:12">
      <c r="K579"/>
      <c r="L579"/>
    </row>
    <row r="580" spans="11:12">
      <c r="K580"/>
      <c r="L580"/>
    </row>
    <row r="581" spans="11:12">
      <c r="K581"/>
      <c r="L581"/>
    </row>
    <row r="582" spans="11:12">
      <c r="K582"/>
      <c r="L582"/>
    </row>
    <row r="583" spans="11:12">
      <c r="K583"/>
      <c r="L583"/>
    </row>
    <row r="584" spans="11:12">
      <c r="K584"/>
      <c r="L584"/>
    </row>
    <row r="585" spans="11:12">
      <c r="K585"/>
      <c r="L585"/>
    </row>
    <row r="586" spans="11:12">
      <c r="K586"/>
      <c r="L586"/>
    </row>
    <row r="587" spans="11:12">
      <c r="K587"/>
      <c r="L587"/>
    </row>
    <row r="588" spans="11:12">
      <c r="K588"/>
      <c r="L588"/>
    </row>
    <row r="589" spans="11:12">
      <c r="K589"/>
      <c r="L589"/>
    </row>
    <row r="590" spans="11:12">
      <c r="K590"/>
      <c r="L590"/>
    </row>
    <row r="591" spans="11:12">
      <c r="K591"/>
      <c r="L591"/>
    </row>
    <row r="592" spans="11:12">
      <c r="K592"/>
      <c r="L592"/>
    </row>
    <row r="593" spans="11:12">
      <c r="K593"/>
      <c r="L593"/>
    </row>
    <row r="594" spans="11:12">
      <c r="K594"/>
      <c r="L594"/>
    </row>
    <row r="595" spans="11:12">
      <c r="K595"/>
      <c r="L595"/>
    </row>
    <row r="596" spans="11:12">
      <c r="K596"/>
      <c r="L596"/>
    </row>
    <row r="597" spans="11:12">
      <c r="K597"/>
      <c r="L597"/>
    </row>
    <row r="598" spans="11:12">
      <c r="K598"/>
      <c r="L598"/>
    </row>
    <row r="599" spans="11:12">
      <c r="K599"/>
      <c r="L599"/>
    </row>
    <row r="600" spans="11:12">
      <c r="K600"/>
      <c r="L600"/>
    </row>
    <row r="601" spans="11:12">
      <c r="K601"/>
      <c r="L601"/>
    </row>
    <row r="602" spans="11:12">
      <c r="K602"/>
      <c r="L602"/>
    </row>
    <row r="603" spans="11:12">
      <c r="K603"/>
      <c r="L603"/>
    </row>
    <row r="604" spans="11:12">
      <c r="K604"/>
      <c r="L604"/>
    </row>
    <row r="605" spans="11:12">
      <c r="K605"/>
      <c r="L605"/>
    </row>
    <row r="606" spans="11:12">
      <c r="K606"/>
      <c r="L606"/>
    </row>
    <row r="607" spans="11:12">
      <c r="K607"/>
      <c r="L607"/>
    </row>
    <row r="608" spans="11:12">
      <c r="K608"/>
      <c r="L608"/>
    </row>
    <row r="609" spans="11:12">
      <c r="K609"/>
      <c r="L609"/>
    </row>
    <row r="610" spans="11:12">
      <c r="K610"/>
      <c r="L610"/>
    </row>
    <row r="611" spans="11:12">
      <c r="K611"/>
      <c r="L611"/>
    </row>
    <row r="612" spans="11:12">
      <c r="K612"/>
      <c r="L612"/>
    </row>
    <row r="613" spans="11:12">
      <c r="K613"/>
      <c r="L613"/>
    </row>
    <row r="614" spans="11:12">
      <c r="K614"/>
      <c r="L614"/>
    </row>
    <row r="615" spans="11:12">
      <c r="K615"/>
      <c r="L615"/>
    </row>
    <row r="616" spans="11:12">
      <c r="K616"/>
      <c r="L616"/>
    </row>
    <row r="617" spans="11:12">
      <c r="K617"/>
      <c r="L617"/>
    </row>
    <row r="618" spans="11:12">
      <c r="K618"/>
      <c r="L618"/>
    </row>
    <row r="619" spans="11:12">
      <c r="K619"/>
      <c r="L619"/>
    </row>
    <row r="620" spans="11:12">
      <c r="K620"/>
      <c r="L620"/>
    </row>
    <row r="621" spans="11:12">
      <c r="K621"/>
      <c r="L621"/>
    </row>
    <row r="622" spans="11:12">
      <c r="K622"/>
      <c r="L622"/>
    </row>
    <row r="623" spans="11:12">
      <c r="K623"/>
      <c r="L623"/>
    </row>
    <row r="624" spans="11:12">
      <c r="K624"/>
      <c r="L624"/>
    </row>
    <row r="625" spans="11:12">
      <c r="K625"/>
      <c r="L625"/>
    </row>
    <row r="626" spans="11:12">
      <c r="K626"/>
      <c r="L626"/>
    </row>
    <row r="627" spans="11:12">
      <c r="K627"/>
      <c r="L627"/>
    </row>
    <row r="628" spans="11:12">
      <c r="K628"/>
      <c r="L628"/>
    </row>
    <row r="629" spans="11:12">
      <c r="K629"/>
      <c r="L629"/>
    </row>
    <row r="630" spans="11:12">
      <c r="K630"/>
      <c r="L630"/>
    </row>
    <row r="631" spans="11:12">
      <c r="K631"/>
      <c r="L631"/>
    </row>
    <row r="632" spans="11:12">
      <c r="K632"/>
      <c r="L632"/>
    </row>
    <row r="633" spans="11:12">
      <c r="K633"/>
      <c r="L633"/>
    </row>
    <row r="634" spans="11:12">
      <c r="K634"/>
      <c r="L634"/>
    </row>
    <row r="635" spans="11:12">
      <c r="K635"/>
      <c r="L635"/>
    </row>
    <row r="636" spans="11:12">
      <c r="K636"/>
      <c r="L636"/>
    </row>
    <row r="637" spans="11:12">
      <c r="K637"/>
      <c r="L637"/>
    </row>
    <row r="638" spans="11:12">
      <c r="K638"/>
      <c r="L638"/>
    </row>
    <row r="639" spans="11:12">
      <c r="K639"/>
      <c r="L639"/>
    </row>
    <row r="640" spans="11:12">
      <c r="K640"/>
      <c r="L640"/>
    </row>
    <row r="641" spans="11:12">
      <c r="K641"/>
      <c r="L641"/>
    </row>
    <row r="642" spans="11:12">
      <c r="K642"/>
      <c r="L642"/>
    </row>
    <row r="643" spans="11:12">
      <c r="K643"/>
      <c r="L643"/>
    </row>
    <row r="644" spans="11:12">
      <c r="K644"/>
      <c r="L644"/>
    </row>
    <row r="645" spans="11:12">
      <c r="K645"/>
      <c r="L645"/>
    </row>
    <row r="646" spans="11:12">
      <c r="K646"/>
      <c r="L646"/>
    </row>
    <row r="647" spans="11:12">
      <c r="K647"/>
      <c r="L647"/>
    </row>
    <row r="648" spans="11:12">
      <c r="K648"/>
      <c r="L648"/>
    </row>
    <row r="649" spans="11:12">
      <c r="K649"/>
      <c r="L649"/>
    </row>
    <row r="650" spans="11:12">
      <c r="K650"/>
      <c r="L650"/>
    </row>
    <row r="651" spans="11:12">
      <c r="K651"/>
      <c r="L651"/>
    </row>
    <row r="652" spans="11:12">
      <c r="K652"/>
      <c r="L652"/>
    </row>
    <row r="653" spans="11:12">
      <c r="K653"/>
      <c r="L653"/>
    </row>
    <row r="654" spans="11:12">
      <c r="K654"/>
      <c r="L654"/>
    </row>
    <row r="655" spans="11:12">
      <c r="K655"/>
      <c r="L655"/>
    </row>
    <row r="656" spans="11:12">
      <c r="K656"/>
      <c r="L656"/>
    </row>
    <row r="657" spans="11:12">
      <c r="K657"/>
      <c r="L657"/>
    </row>
    <row r="658" spans="11:12">
      <c r="K658"/>
      <c r="L658"/>
    </row>
    <row r="659" spans="11:12">
      <c r="K659"/>
      <c r="L659"/>
    </row>
    <row r="660" spans="11:12">
      <c r="K660"/>
      <c r="L660"/>
    </row>
    <row r="661" spans="11:12">
      <c r="K661"/>
      <c r="L661"/>
    </row>
    <row r="662" spans="11:12">
      <c r="K662"/>
      <c r="L662"/>
    </row>
    <row r="663" spans="11:12">
      <c r="K663"/>
      <c r="L663"/>
    </row>
    <row r="664" spans="11:12">
      <c r="K664"/>
      <c r="L664"/>
    </row>
    <row r="665" spans="11:12">
      <c r="K665"/>
      <c r="L665"/>
    </row>
    <row r="666" spans="11:12">
      <c r="K666"/>
      <c r="L666"/>
    </row>
    <row r="667" spans="11:12">
      <c r="K667"/>
      <c r="L667"/>
    </row>
    <row r="668" spans="11:12">
      <c r="K668"/>
      <c r="L668"/>
    </row>
    <row r="669" spans="11:12">
      <c r="K669"/>
      <c r="L669"/>
    </row>
    <row r="670" spans="11:12">
      <c r="K670"/>
      <c r="L670"/>
    </row>
    <row r="671" spans="11:12">
      <c r="K671"/>
      <c r="L671"/>
    </row>
    <row r="672" spans="11:12">
      <c r="K672"/>
      <c r="L672"/>
    </row>
    <row r="673" spans="11:12">
      <c r="K673"/>
      <c r="L673"/>
    </row>
    <row r="674" spans="11:12">
      <c r="K674"/>
      <c r="L674"/>
    </row>
    <row r="675" spans="11:12">
      <c r="K675"/>
      <c r="L675"/>
    </row>
    <row r="676" spans="11:12">
      <c r="K676"/>
      <c r="L676"/>
    </row>
    <row r="677" spans="11:12">
      <c r="K677"/>
      <c r="L677"/>
    </row>
    <row r="678" spans="11:12">
      <c r="K678"/>
      <c r="L678"/>
    </row>
    <row r="679" spans="11:12">
      <c r="K679"/>
      <c r="L679"/>
    </row>
    <row r="680" spans="11:12">
      <c r="K680"/>
      <c r="L680"/>
    </row>
    <row r="681" spans="11:12">
      <c r="K681"/>
      <c r="L681"/>
    </row>
    <row r="682" spans="11:12">
      <c r="K682"/>
      <c r="L682"/>
    </row>
    <row r="683" spans="11:12">
      <c r="K683"/>
      <c r="L683"/>
    </row>
    <row r="684" spans="11:12">
      <c r="K684"/>
      <c r="L684"/>
    </row>
    <row r="685" spans="11:12">
      <c r="K685"/>
      <c r="L685"/>
    </row>
    <row r="686" spans="11:12">
      <c r="K686"/>
      <c r="L686"/>
    </row>
    <row r="687" spans="11:12">
      <c r="K687"/>
      <c r="L687"/>
    </row>
    <row r="688" spans="11:12">
      <c r="K688"/>
      <c r="L688"/>
    </row>
    <row r="689" spans="11:12">
      <c r="K689"/>
      <c r="L689"/>
    </row>
    <row r="690" spans="11:12">
      <c r="K690"/>
      <c r="L690"/>
    </row>
    <row r="691" spans="11:12">
      <c r="K691"/>
      <c r="L691"/>
    </row>
    <row r="692" spans="11:12">
      <c r="K692"/>
      <c r="L692"/>
    </row>
    <row r="693" spans="11:12">
      <c r="K693"/>
      <c r="L693"/>
    </row>
    <row r="694" spans="11:12">
      <c r="K694"/>
      <c r="L694"/>
    </row>
    <row r="695" spans="11:12">
      <c r="K695"/>
      <c r="L695"/>
    </row>
    <row r="696" spans="11:12">
      <c r="K696"/>
      <c r="L696"/>
    </row>
    <row r="697" spans="11:12">
      <c r="K697"/>
      <c r="L697"/>
    </row>
    <row r="698" spans="11:12">
      <c r="K698"/>
      <c r="L698"/>
    </row>
    <row r="699" spans="11:12">
      <c r="K699"/>
      <c r="L699"/>
    </row>
    <row r="700" spans="11:12">
      <c r="K700"/>
      <c r="L700"/>
    </row>
    <row r="701" spans="11:12">
      <c r="K701"/>
      <c r="L701"/>
    </row>
    <row r="702" spans="11:12">
      <c r="K702"/>
      <c r="L702"/>
    </row>
    <row r="703" spans="11:12">
      <c r="K703"/>
      <c r="L703"/>
    </row>
    <row r="704" spans="11:12">
      <c r="K704"/>
      <c r="L704"/>
    </row>
    <row r="705" spans="11:12">
      <c r="K705"/>
      <c r="L705"/>
    </row>
    <row r="706" spans="11:12">
      <c r="K706"/>
      <c r="L706"/>
    </row>
    <row r="707" spans="11:12">
      <c r="K707"/>
      <c r="L707"/>
    </row>
    <row r="708" spans="11:12">
      <c r="K708"/>
      <c r="L708"/>
    </row>
    <row r="709" spans="11:12">
      <c r="K709"/>
      <c r="L709"/>
    </row>
    <row r="710" spans="11:12">
      <c r="K710"/>
      <c r="L710"/>
    </row>
    <row r="711" spans="11:12">
      <c r="K711"/>
      <c r="L711"/>
    </row>
    <row r="712" spans="11:12">
      <c r="K712"/>
      <c r="L712"/>
    </row>
    <row r="713" spans="11:12">
      <c r="K713"/>
      <c r="L713"/>
    </row>
    <row r="714" spans="11:12">
      <c r="K714"/>
      <c r="L714"/>
    </row>
    <row r="715" spans="11:12">
      <c r="K715"/>
      <c r="L715"/>
    </row>
    <row r="716" spans="11:12">
      <c r="K716"/>
      <c r="L716"/>
    </row>
    <row r="717" spans="11:12">
      <c r="K717"/>
      <c r="L717"/>
    </row>
    <row r="718" spans="11:12">
      <c r="K718"/>
      <c r="L718"/>
    </row>
    <row r="719" spans="11:12">
      <c r="K719"/>
      <c r="L719"/>
    </row>
    <row r="720" spans="11:12">
      <c r="K720"/>
      <c r="L720"/>
    </row>
    <row r="721" spans="11:12">
      <c r="K721"/>
      <c r="L721"/>
    </row>
    <row r="722" spans="11:12">
      <c r="K722"/>
      <c r="L722"/>
    </row>
    <row r="723" spans="11:12">
      <c r="K723"/>
      <c r="L723"/>
    </row>
    <row r="724" spans="11:12">
      <c r="K724"/>
      <c r="L724"/>
    </row>
    <row r="725" spans="11:12">
      <c r="K725"/>
      <c r="L725"/>
    </row>
    <row r="726" spans="11:12">
      <c r="K726"/>
      <c r="L726"/>
    </row>
    <row r="727" spans="11:12">
      <c r="K727"/>
      <c r="L727"/>
    </row>
    <row r="728" spans="11:12">
      <c r="K728"/>
      <c r="L728"/>
    </row>
    <row r="729" spans="11:12">
      <c r="K729"/>
      <c r="L729"/>
    </row>
    <row r="730" spans="11:12">
      <c r="K730"/>
      <c r="L730"/>
    </row>
    <row r="731" spans="11:12">
      <c r="K731"/>
      <c r="L731"/>
    </row>
    <row r="732" spans="11:12">
      <c r="K732"/>
      <c r="L732"/>
    </row>
    <row r="733" spans="11:12">
      <c r="K733"/>
      <c r="L733"/>
    </row>
    <row r="734" spans="11:12">
      <c r="K734"/>
      <c r="L734"/>
    </row>
    <row r="735" spans="11:12">
      <c r="K735"/>
      <c r="L735"/>
    </row>
    <row r="736" spans="11:12">
      <c r="K736"/>
      <c r="L736"/>
    </row>
    <row r="737" spans="11:12">
      <c r="K737"/>
      <c r="L737"/>
    </row>
    <row r="738" spans="11:12">
      <c r="K738"/>
      <c r="L738"/>
    </row>
    <row r="739" spans="11:12">
      <c r="K739"/>
      <c r="L739"/>
    </row>
    <row r="740" spans="11:12">
      <c r="K740"/>
      <c r="L740"/>
    </row>
    <row r="741" spans="11:12">
      <c r="K741"/>
      <c r="L741"/>
    </row>
    <row r="742" spans="11:12">
      <c r="K742"/>
      <c r="L742"/>
    </row>
    <row r="743" spans="11:12">
      <c r="K743"/>
      <c r="L743"/>
    </row>
    <row r="744" spans="11:12">
      <c r="K744"/>
      <c r="L744"/>
    </row>
    <row r="745" spans="11:12">
      <c r="K745"/>
      <c r="L745"/>
    </row>
    <row r="746" spans="11:12">
      <c r="K746"/>
      <c r="L746"/>
    </row>
    <row r="747" spans="11:12">
      <c r="K747"/>
      <c r="L747"/>
    </row>
    <row r="748" spans="11:12">
      <c r="K748"/>
      <c r="L748"/>
    </row>
    <row r="749" spans="11:12">
      <c r="K749"/>
      <c r="L749"/>
    </row>
    <row r="750" spans="11:12">
      <c r="K750"/>
      <c r="L750"/>
    </row>
    <row r="751" spans="11:12">
      <c r="K751"/>
      <c r="L751"/>
    </row>
    <row r="752" spans="11:12">
      <c r="K752"/>
      <c r="L752"/>
    </row>
    <row r="753" spans="11:12">
      <c r="K753"/>
      <c r="L753"/>
    </row>
    <row r="754" spans="11:12">
      <c r="K754"/>
      <c r="L754"/>
    </row>
    <row r="755" spans="11:12">
      <c r="K755"/>
      <c r="L755"/>
    </row>
    <row r="756" spans="11:12">
      <c r="K756"/>
      <c r="L756"/>
    </row>
    <row r="757" spans="11:12">
      <c r="K757"/>
      <c r="L757"/>
    </row>
    <row r="758" spans="11:12">
      <c r="K758"/>
      <c r="L758"/>
    </row>
    <row r="759" spans="11:12">
      <c r="K759"/>
      <c r="L759"/>
    </row>
    <row r="760" spans="11:12">
      <c r="K760"/>
      <c r="L760"/>
    </row>
    <row r="761" spans="11:12">
      <c r="K761"/>
      <c r="L761"/>
    </row>
    <row r="762" spans="11:12">
      <c r="K762"/>
      <c r="L762"/>
    </row>
    <row r="763" spans="11:12">
      <c r="K763"/>
      <c r="L763"/>
    </row>
    <row r="764" spans="11:12">
      <c r="K764"/>
      <c r="L764"/>
    </row>
    <row r="765" spans="11:12">
      <c r="K765"/>
      <c r="L765"/>
    </row>
    <row r="766" spans="11:12">
      <c r="K766"/>
      <c r="L766"/>
    </row>
    <row r="767" spans="11:12">
      <c r="K767"/>
      <c r="L767"/>
    </row>
    <row r="768" spans="11:12">
      <c r="K768"/>
      <c r="L768"/>
    </row>
    <row r="769" spans="11:12">
      <c r="K769"/>
      <c r="L769"/>
    </row>
    <row r="770" spans="11:12">
      <c r="K770"/>
      <c r="L770"/>
    </row>
    <row r="771" spans="11:12">
      <c r="K771"/>
      <c r="L771"/>
    </row>
    <row r="772" spans="11:12">
      <c r="K772"/>
      <c r="L772"/>
    </row>
    <row r="773" spans="11:12">
      <c r="K773"/>
      <c r="L773"/>
    </row>
    <row r="774" spans="11:12">
      <c r="K774"/>
      <c r="L774"/>
    </row>
    <row r="775" spans="11:12">
      <c r="K775"/>
      <c r="L775"/>
    </row>
    <row r="776" spans="11:12">
      <c r="K776"/>
      <c r="L776"/>
    </row>
    <row r="777" spans="11:12">
      <c r="K777"/>
      <c r="L777"/>
    </row>
    <row r="778" spans="11:12">
      <c r="K778"/>
      <c r="L778"/>
    </row>
    <row r="779" spans="11:12">
      <c r="K779"/>
      <c r="L779"/>
    </row>
    <row r="780" spans="11:12">
      <c r="K780"/>
      <c r="L780"/>
    </row>
    <row r="781" spans="11:12">
      <c r="K781"/>
      <c r="L781"/>
    </row>
    <row r="782" spans="11:12">
      <c r="K782"/>
      <c r="L782"/>
    </row>
    <row r="783" spans="11:12">
      <c r="K783"/>
      <c r="L783"/>
    </row>
    <row r="784" spans="11:12">
      <c r="K784"/>
      <c r="L784"/>
    </row>
    <row r="785" spans="11:12">
      <c r="K785"/>
      <c r="L785"/>
    </row>
    <row r="786" spans="11:12">
      <c r="K786"/>
      <c r="L786"/>
    </row>
    <row r="787" spans="11:12">
      <c r="K787"/>
      <c r="L787"/>
    </row>
    <row r="788" spans="11:12">
      <c r="K788"/>
      <c r="L788"/>
    </row>
    <row r="789" spans="11:12">
      <c r="K789"/>
      <c r="L789"/>
    </row>
    <row r="790" spans="11:12">
      <c r="K790"/>
      <c r="L790"/>
    </row>
    <row r="791" spans="11:12">
      <c r="K791"/>
      <c r="L791"/>
    </row>
    <row r="792" spans="11:12">
      <c r="K792"/>
      <c r="L792"/>
    </row>
    <row r="793" spans="11:12">
      <c r="K793"/>
      <c r="L793"/>
    </row>
    <row r="794" spans="11:12">
      <c r="K794"/>
      <c r="L794"/>
    </row>
    <row r="795" spans="11:12">
      <c r="K795"/>
      <c r="L795"/>
    </row>
    <row r="796" spans="11:12">
      <c r="K796"/>
      <c r="L796"/>
    </row>
    <row r="797" spans="11:12">
      <c r="K797"/>
      <c r="L797"/>
    </row>
    <row r="798" spans="11:12">
      <c r="K798"/>
      <c r="L798"/>
    </row>
    <row r="799" spans="11:12">
      <c r="K799"/>
      <c r="L799"/>
    </row>
    <row r="800" spans="11:12">
      <c r="K800"/>
      <c r="L800"/>
    </row>
    <row r="801" spans="11:12">
      <c r="K801"/>
      <c r="L801"/>
    </row>
    <row r="802" spans="11:12">
      <c r="K802"/>
      <c r="L802"/>
    </row>
    <row r="803" spans="11:12">
      <c r="K803"/>
      <c r="L803"/>
    </row>
    <row r="804" spans="11:12">
      <c r="K804"/>
      <c r="L804"/>
    </row>
    <row r="805" spans="11:12">
      <c r="K805"/>
      <c r="L805"/>
    </row>
    <row r="806" spans="11:12">
      <c r="K806"/>
      <c r="L806"/>
    </row>
    <row r="807" spans="11:12">
      <c r="K807"/>
      <c r="L807"/>
    </row>
    <row r="808" spans="11:12">
      <c r="K808"/>
      <c r="L808"/>
    </row>
    <row r="809" spans="11:12">
      <c r="K809"/>
      <c r="L809"/>
    </row>
    <row r="810" spans="11:12">
      <c r="K810"/>
      <c r="L810"/>
    </row>
    <row r="811" spans="11:12">
      <c r="K811"/>
      <c r="L811"/>
    </row>
    <row r="812" spans="11:12">
      <c r="K812"/>
      <c r="L812"/>
    </row>
    <row r="813" spans="11:12">
      <c r="K813"/>
      <c r="L813"/>
    </row>
    <row r="814" spans="11:12">
      <c r="K814"/>
      <c r="L814"/>
    </row>
    <row r="815" spans="11:12">
      <c r="K815"/>
      <c r="L815"/>
    </row>
    <row r="816" spans="11:12">
      <c r="K816"/>
      <c r="L816"/>
    </row>
    <row r="817" spans="11:12">
      <c r="K817"/>
      <c r="L817"/>
    </row>
    <row r="818" spans="11:12">
      <c r="K818"/>
      <c r="L818"/>
    </row>
    <row r="819" spans="11:12">
      <c r="K819"/>
      <c r="L819"/>
    </row>
    <row r="820" spans="11:12">
      <c r="K820"/>
      <c r="L820"/>
    </row>
    <row r="821" spans="11:12">
      <c r="K821"/>
      <c r="L821"/>
    </row>
    <row r="822" spans="11:12">
      <c r="K822"/>
      <c r="L822"/>
    </row>
    <row r="823" spans="11:12">
      <c r="K823"/>
      <c r="L823"/>
    </row>
    <row r="824" spans="11:12">
      <c r="K824"/>
      <c r="L824"/>
    </row>
    <row r="825" spans="11:12">
      <c r="K825"/>
      <c r="L825"/>
    </row>
    <row r="826" spans="11:12">
      <c r="K826"/>
      <c r="L826"/>
    </row>
    <row r="827" spans="11:12">
      <c r="K827"/>
      <c r="L827"/>
    </row>
    <row r="828" spans="11:12">
      <c r="K828"/>
      <c r="L828"/>
    </row>
    <row r="829" spans="11:12">
      <c r="K829"/>
      <c r="L829"/>
    </row>
    <row r="830" spans="11:12">
      <c r="K830"/>
      <c r="L830"/>
    </row>
    <row r="831" spans="11:12">
      <c r="K831"/>
      <c r="L831"/>
    </row>
    <row r="832" spans="11:12">
      <c r="K832"/>
      <c r="L832"/>
    </row>
    <row r="833" spans="11:12">
      <c r="K833"/>
      <c r="L833"/>
    </row>
    <row r="834" spans="11:12">
      <c r="K834"/>
      <c r="L834"/>
    </row>
    <row r="835" spans="11:12">
      <c r="K835"/>
      <c r="L835"/>
    </row>
    <row r="836" spans="11:12">
      <c r="K836"/>
      <c r="L836"/>
    </row>
    <row r="837" spans="11:12">
      <c r="K837"/>
      <c r="L837"/>
    </row>
    <row r="838" spans="11:12">
      <c r="K838"/>
      <c r="L838"/>
    </row>
    <row r="839" spans="11:12">
      <c r="K839"/>
      <c r="L839"/>
    </row>
    <row r="840" spans="11:12">
      <c r="K840"/>
      <c r="L840"/>
    </row>
    <row r="841" spans="11:12">
      <c r="K841"/>
      <c r="L841"/>
    </row>
    <row r="842" spans="11:12">
      <c r="K842"/>
      <c r="L842"/>
    </row>
    <row r="843" spans="11:12">
      <c r="K843"/>
      <c r="L843"/>
    </row>
    <row r="844" spans="11:12">
      <c r="K844"/>
      <c r="L844"/>
    </row>
    <row r="845" spans="11:12">
      <c r="K845"/>
      <c r="L845"/>
    </row>
    <row r="846" spans="11:12">
      <c r="K846"/>
      <c r="L846"/>
    </row>
    <row r="847" spans="11:12">
      <c r="K847"/>
      <c r="L847"/>
    </row>
    <row r="848" spans="11:12">
      <c r="K848"/>
      <c r="L848"/>
    </row>
    <row r="849" spans="11:12">
      <c r="K849"/>
      <c r="L849"/>
    </row>
    <row r="850" spans="11:12">
      <c r="K850"/>
      <c r="L850"/>
    </row>
    <row r="851" spans="11:12">
      <c r="K851"/>
      <c r="L851"/>
    </row>
    <row r="852" spans="11:12">
      <c r="K852"/>
      <c r="L852"/>
    </row>
    <row r="853" spans="11:12">
      <c r="K853"/>
      <c r="L853"/>
    </row>
    <row r="854" spans="11:12">
      <c r="K854"/>
      <c r="L854"/>
    </row>
    <row r="855" spans="11:12">
      <c r="K855"/>
      <c r="L855"/>
    </row>
    <row r="856" spans="11:12">
      <c r="K856"/>
      <c r="L856"/>
    </row>
    <row r="857" spans="11:12">
      <c r="K857"/>
      <c r="L857"/>
    </row>
    <row r="858" spans="11:12">
      <c r="K858"/>
      <c r="L858"/>
    </row>
    <row r="859" spans="11:12">
      <c r="K859"/>
      <c r="L859"/>
    </row>
    <row r="860" spans="11:12">
      <c r="K860"/>
      <c r="L860"/>
    </row>
    <row r="861" spans="11:12">
      <c r="K861"/>
      <c r="L861"/>
    </row>
    <row r="862" spans="11:12">
      <c r="K862"/>
      <c r="L862"/>
    </row>
    <row r="863" spans="11:12">
      <c r="K863"/>
      <c r="L863"/>
    </row>
    <row r="864" spans="11:12">
      <c r="K864"/>
      <c r="L864"/>
    </row>
    <row r="865" spans="11:12">
      <c r="K865"/>
      <c r="L865"/>
    </row>
    <row r="866" spans="11:12">
      <c r="K866"/>
      <c r="L866"/>
    </row>
    <row r="867" spans="11:12">
      <c r="K867"/>
      <c r="L867"/>
    </row>
    <row r="868" spans="11:12">
      <c r="K868"/>
      <c r="L868"/>
    </row>
    <row r="869" spans="11:12">
      <c r="K869"/>
      <c r="L869"/>
    </row>
    <row r="870" spans="11:12">
      <c r="K870"/>
      <c r="L870"/>
    </row>
    <row r="871" spans="11:12">
      <c r="K871"/>
      <c r="L871"/>
    </row>
    <row r="872" spans="11:12">
      <c r="K872"/>
      <c r="L872"/>
    </row>
    <row r="873" spans="11:12">
      <c r="K873"/>
      <c r="L873"/>
    </row>
    <row r="874" spans="11:12">
      <c r="K874"/>
      <c r="L874"/>
    </row>
    <row r="875" spans="11:12">
      <c r="K875"/>
      <c r="L875"/>
    </row>
    <row r="876" spans="11:12">
      <c r="K876"/>
      <c r="L876"/>
    </row>
    <row r="877" spans="11:12">
      <c r="K877"/>
      <c r="L877"/>
    </row>
    <row r="878" spans="11:12">
      <c r="K878"/>
      <c r="L878"/>
    </row>
    <row r="879" spans="11:12">
      <c r="K879"/>
      <c r="L879"/>
    </row>
    <row r="880" spans="11:12">
      <c r="K880"/>
      <c r="L880"/>
    </row>
    <row r="881" spans="11:12">
      <c r="K881"/>
      <c r="L881"/>
    </row>
    <row r="882" spans="11:12">
      <c r="K882"/>
      <c r="L882"/>
    </row>
    <row r="883" spans="11:12">
      <c r="K883"/>
      <c r="L883"/>
    </row>
    <row r="884" spans="11:12">
      <c r="K884"/>
      <c r="L884"/>
    </row>
    <row r="885" spans="11:12">
      <c r="K885"/>
      <c r="L885"/>
    </row>
    <row r="886" spans="11:12">
      <c r="K886"/>
      <c r="L886"/>
    </row>
    <row r="887" spans="11:12">
      <c r="K887"/>
      <c r="L887"/>
    </row>
    <row r="888" spans="11:12">
      <c r="K888"/>
      <c r="L888"/>
    </row>
    <row r="889" spans="11:12">
      <c r="K889"/>
      <c r="L889"/>
    </row>
    <row r="890" spans="11:12">
      <c r="K890"/>
      <c r="L890"/>
    </row>
    <row r="891" spans="11:12">
      <c r="K891"/>
      <c r="L891"/>
    </row>
    <row r="892" spans="11:12">
      <c r="K892"/>
      <c r="L892"/>
    </row>
    <row r="893" spans="11:12">
      <c r="K893"/>
      <c r="L893"/>
    </row>
    <row r="894" spans="11:12">
      <c r="K894"/>
      <c r="L894"/>
    </row>
    <row r="895" spans="11:12">
      <c r="K895"/>
      <c r="L895"/>
    </row>
    <row r="896" spans="11:12">
      <c r="K896"/>
      <c r="L896"/>
    </row>
    <row r="897" spans="11:12">
      <c r="K897"/>
      <c r="L897"/>
    </row>
    <row r="898" spans="11:12">
      <c r="K898"/>
      <c r="L898"/>
    </row>
    <row r="899" spans="11:12">
      <c r="K899"/>
      <c r="L899"/>
    </row>
    <row r="900" spans="11:12">
      <c r="K900"/>
      <c r="L900"/>
    </row>
    <row r="901" spans="11:12">
      <c r="K901"/>
      <c r="L901"/>
    </row>
    <row r="902" spans="11:12">
      <c r="K902"/>
      <c r="L902"/>
    </row>
    <row r="903" spans="11:12">
      <c r="K903"/>
      <c r="L903"/>
    </row>
    <row r="904" spans="11:12">
      <c r="K904"/>
      <c r="L904"/>
    </row>
    <row r="905" spans="11:12">
      <c r="K905"/>
      <c r="L905"/>
    </row>
    <row r="906" spans="11:12">
      <c r="K906"/>
      <c r="L906"/>
    </row>
    <row r="907" spans="11:12">
      <c r="K907"/>
      <c r="L907"/>
    </row>
    <row r="908" spans="11:12">
      <c r="K908"/>
      <c r="L908"/>
    </row>
    <row r="909" spans="11:12">
      <c r="K909"/>
      <c r="L909"/>
    </row>
    <row r="910" spans="11:12">
      <c r="K910"/>
      <c r="L910"/>
    </row>
    <row r="911" spans="11:12">
      <c r="K911"/>
      <c r="L911"/>
    </row>
    <row r="912" spans="11:12">
      <c r="K912"/>
      <c r="L912"/>
    </row>
    <row r="913" spans="11:12">
      <c r="K913"/>
      <c r="L913"/>
    </row>
    <row r="914" spans="11:12">
      <c r="K914"/>
      <c r="L914"/>
    </row>
    <row r="915" spans="11:12">
      <c r="K915"/>
      <c r="L915"/>
    </row>
    <row r="916" spans="11:12">
      <c r="K916"/>
      <c r="L916"/>
    </row>
    <row r="917" spans="11:12">
      <c r="K917"/>
      <c r="L917"/>
    </row>
    <row r="918" spans="11:12">
      <c r="K918"/>
      <c r="L918"/>
    </row>
    <row r="919" spans="11:12">
      <c r="K919"/>
      <c r="L919"/>
    </row>
    <row r="920" spans="11:12">
      <c r="K920"/>
      <c r="L920"/>
    </row>
    <row r="921" spans="11:12">
      <c r="K921"/>
      <c r="L921"/>
    </row>
    <row r="922" spans="11:12">
      <c r="K922"/>
      <c r="L922"/>
    </row>
    <row r="923" spans="11:12">
      <c r="K923"/>
      <c r="L923"/>
    </row>
    <row r="924" spans="11:12">
      <c r="K924"/>
      <c r="L924"/>
    </row>
    <row r="925" spans="11:12">
      <c r="K925"/>
      <c r="L925"/>
    </row>
    <row r="926" spans="11:12">
      <c r="K926"/>
      <c r="L926"/>
    </row>
    <row r="927" spans="11:12">
      <c r="K927"/>
      <c r="L927"/>
    </row>
    <row r="928" spans="11:12">
      <c r="K928"/>
      <c r="L928"/>
    </row>
    <row r="929" spans="11:12">
      <c r="K929"/>
      <c r="L929"/>
    </row>
    <row r="930" spans="11:12">
      <c r="K930"/>
      <c r="L930"/>
    </row>
    <row r="931" spans="11:12">
      <c r="K931"/>
      <c r="L931"/>
    </row>
    <row r="932" spans="11:12">
      <c r="K932"/>
      <c r="L932"/>
    </row>
    <row r="933" spans="11:12">
      <c r="K933"/>
      <c r="L933"/>
    </row>
    <row r="934" spans="11:12">
      <c r="K934"/>
      <c r="L934"/>
    </row>
    <row r="935" spans="11:12">
      <c r="K935"/>
      <c r="L935"/>
    </row>
    <row r="936" spans="11:12">
      <c r="K936"/>
      <c r="L936"/>
    </row>
    <row r="937" spans="11:12">
      <c r="K937"/>
      <c r="L937"/>
    </row>
    <row r="938" spans="11:12">
      <c r="K938"/>
      <c r="L938"/>
    </row>
    <row r="939" spans="11:12">
      <c r="K939"/>
      <c r="L939"/>
    </row>
    <row r="940" spans="11:12">
      <c r="K940"/>
      <c r="L940"/>
    </row>
    <row r="941" spans="11:12">
      <c r="K941"/>
      <c r="L941"/>
    </row>
    <row r="942" spans="11:12">
      <c r="K942"/>
      <c r="L942"/>
    </row>
    <row r="943" spans="11:12">
      <c r="K943"/>
      <c r="L943"/>
    </row>
    <row r="944" spans="11:12">
      <c r="K944"/>
      <c r="L944"/>
    </row>
    <row r="945" spans="11:12">
      <c r="K945"/>
      <c r="L945"/>
    </row>
    <row r="946" spans="11:12">
      <c r="K946"/>
      <c r="L946"/>
    </row>
    <row r="947" spans="11:12">
      <c r="K947"/>
      <c r="L947"/>
    </row>
    <row r="948" spans="11:12">
      <c r="K948"/>
      <c r="L948"/>
    </row>
    <row r="949" spans="11:12">
      <c r="K949"/>
      <c r="L949"/>
    </row>
    <row r="950" spans="11:12">
      <c r="K950"/>
      <c r="L950"/>
    </row>
    <row r="951" spans="11:12">
      <c r="K951"/>
      <c r="L951"/>
    </row>
    <row r="952" spans="11:12">
      <c r="K952"/>
      <c r="L952"/>
    </row>
    <row r="953" spans="11:12">
      <c r="K953"/>
      <c r="L953"/>
    </row>
    <row r="954" spans="11:12">
      <c r="K954"/>
      <c r="L954"/>
    </row>
    <row r="955" spans="11:12">
      <c r="K955"/>
      <c r="L955"/>
    </row>
    <row r="956" spans="11:12">
      <c r="K956"/>
      <c r="L956"/>
    </row>
    <row r="957" spans="11:12">
      <c r="K957"/>
      <c r="L957"/>
    </row>
    <row r="958" spans="11:12">
      <c r="K958"/>
      <c r="L958"/>
    </row>
    <row r="959" spans="11:12">
      <c r="K959"/>
      <c r="L959"/>
    </row>
    <row r="960" spans="11:12">
      <c r="K960"/>
      <c r="L960"/>
    </row>
    <row r="961" spans="11:12">
      <c r="K961"/>
      <c r="L961"/>
    </row>
    <row r="962" spans="11:12">
      <c r="K962"/>
      <c r="L962"/>
    </row>
    <row r="963" spans="11:12">
      <c r="K963"/>
      <c r="L963"/>
    </row>
    <row r="964" spans="11:12">
      <c r="K964"/>
      <c r="L964"/>
    </row>
    <row r="965" spans="11:12">
      <c r="K965"/>
      <c r="L965"/>
    </row>
    <row r="966" spans="11:12">
      <c r="K966"/>
      <c r="L966"/>
    </row>
    <row r="967" spans="11:12">
      <c r="K967"/>
      <c r="L967"/>
    </row>
    <row r="968" spans="11:12">
      <c r="K968"/>
      <c r="L968"/>
    </row>
    <row r="969" spans="11:12">
      <c r="K969"/>
      <c r="L969"/>
    </row>
    <row r="970" spans="11:12">
      <c r="K970"/>
      <c r="L970"/>
    </row>
    <row r="971" spans="11:12">
      <c r="K971"/>
      <c r="L971"/>
    </row>
    <row r="972" spans="11:12">
      <c r="K972"/>
      <c r="L972"/>
    </row>
    <row r="973" spans="11:12">
      <c r="K973"/>
      <c r="L973"/>
    </row>
    <row r="974" spans="11:12">
      <c r="K974"/>
      <c r="L974"/>
    </row>
    <row r="975" spans="11:12">
      <c r="K975"/>
      <c r="L975"/>
    </row>
    <row r="976" spans="11:12">
      <c r="K976"/>
      <c r="L976"/>
    </row>
    <row r="977" spans="11:12">
      <c r="K977"/>
      <c r="L977"/>
    </row>
    <row r="978" spans="11:12">
      <c r="K978"/>
      <c r="L978"/>
    </row>
    <row r="979" spans="11:12">
      <c r="K979"/>
      <c r="L979"/>
    </row>
    <row r="980" spans="11:12">
      <c r="K980"/>
      <c r="L980"/>
    </row>
    <row r="981" spans="11:12">
      <c r="K981"/>
      <c r="L981"/>
    </row>
    <row r="982" spans="11:12">
      <c r="K982"/>
      <c r="L982"/>
    </row>
    <row r="983" spans="11:12">
      <c r="K983"/>
      <c r="L983"/>
    </row>
    <row r="984" spans="11:12">
      <c r="K984"/>
      <c r="L984"/>
    </row>
    <row r="985" spans="11:12">
      <c r="K985"/>
      <c r="L985"/>
    </row>
    <row r="986" spans="11:12">
      <c r="K986"/>
      <c r="L986"/>
    </row>
    <row r="987" spans="11:12">
      <c r="K987"/>
      <c r="L987"/>
    </row>
    <row r="988" spans="11:12">
      <c r="K988"/>
      <c r="L988"/>
    </row>
    <row r="989" spans="11:12">
      <c r="K989"/>
      <c r="L989"/>
    </row>
    <row r="990" spans="11:12">
      <c r="K990"/>
      <c r="L990"/>
    </row>
    <row r="991" spans="11:12">
      <c r="K991"/>
      <c r="L991"/>
    </row>
    <row r="992" spans="11:12">
      <c r="K992"/>
      <c r="L992"/>
    </row>
    <row r="993" spans="11:12">
      <c r="K993"/>
      <c r="L993"/>
    </row>
    <row r="994" spans="11:12">
      <c r="K994"/>
      <c r="L994"/>
    </row>
    <row r="995" spans="11:12">
      <c r="K995"/>
      <c r="L995"/>
    </row>
    <row r="996" spans="11:12">
      <c r="K996"/>
      <c r="L996"/>
    </row>
    <row r="997" spans="11:12">
      <c r="K997"/>
      <c r="L997"/>
    </row>
    <row r="998" spans="11:12">
      <c r="K998"/>
      <c r="L998"/>
    </row>
    <row r="999" spans="11:12">
      <c r="K999"/>
      <c r="L999"/>
    </row>
    <row r="1000" spans="11:12">
      <c r="K1000"/>
      <c r="L1000"/>
    </row>
    <row r="1001" spans="11:12">
      <c r="K1001"/>
      <c r="L1001"/>
    </row>
    <row r="1002" spans="11:12">
      <c r="K1002"/>
      <c r="L1002"/>
    </row>
    <row r="1003" spans="11:12">
      <c r="K1003"/>
      <c r="L1003"/>
    </row>
    <row r="1004" spans="11:12">
      <c r="K1004"/>
      <c r="L1004"/>
    </row>
    <row r="1005" spans="11:12">
      <c r="K1005"/>
      <c r="L1005"/>
    </row>
    <row r="1006" spans="11:12">
      <c r="K1006"/>
      <c r="L1006"/>
    </row>
    <row r="1007" spans="11:12">
      <c r="K1007"/>
      <c r="L1007"/>
    </row>
    <row r="1008" spans="11:12">
      <c r="K1008"/>
      <c r="L1008"/>
    </row>
    <row r="1009" spans="11:12">
      <c r="K1009"/>
      <c r="L1009"/>
    </row>
    <row r="1010" spans="11:12">
      <c r="K1010"/>
      <c r="L1010"/>
    </row>
    <row r="1011" spans="11:12">
      <c r="K1011"/>
      <c r="L1011"/>
    </row>
    <row r="1012" spans="11:12">
      <c r="K1012"/>
      <c r="L1012"/>
    </row>
    <row r="1013" spans="11:12">
      <c r="K1013"/>
      <c r="L1013"/>
    </row>
    <row r="1014" spans="11:12">
      <c r="K1014"/>
      <c r="L1014"/>
    </row>
    <row r="1015" spans="11:12">
      <c r="K1015"/>
      <c r="L1015"/>
    </row>
    <row r="1016" spans="11:12">
      <c r="K1016"/>
      <c r="L1016"/>
    </row>
    <row r="1017" spans="11:12">
      <c r="K1017"/>
      <c r="L1017"/>
    </row>
    <row r="1018" spans="11:12">
      <c r="K1018"/>
      <c r="L1018"/>
    </row>
    <row r="1019" spans="11:12">
      <c r="K1019"/>
      <c r="L1019"/>
    </row>
    <row r="1020" spans="11:12">
      <c r="K1020"/>
      <c r="L1020"/>
    </row>
    <row r="1021" spans="11:12">
      <c r="K1021"/>
      <c r="L1021"/>
    </row>
    <row r="1022" spans="11:12">
      <c r="K1022"/>
      <c r="L1022"/>
    </row>
    <row r="1023" spans="11:12">
      <c r="K1023"/>
      <c r="L1023"/>
    </row>
    <row r="1024" spans="11:12">
      <c r="K1024"/>
      <c r="L1024"/>
    </row>
    <row r="1025" spans="11:12">
      <c r="K1025"/>
      <c r="L1025"/>
    </row>
    <row r="1026" spans="11:12">
      <c r="K1026"/>
      <c r="L1026"/>
    </row>
    <row r="1027" spans="11:12">
      <c r="K1027"/>
      <c r="L1027"/>
    </row>
    <row r="1028" spans="11:12">
      <c r="K1028"/>
      <c r="L1028"/>
    </row>
    <row r="1029" spans="11:12">
      <c r="K1029"/>
      <c r="L1029"/>
    </row>
    <row r="1030" spans="11:12">
      <c r="K1030"/>
      <c r="L1030"/>
    </row>
    <row r="1031" spans="11:12">
      <c r="K1031"/>
      <c r="L1031"/>
    </row>
    <row r="1032" spans="11:12">
      <c r="K1032"/>
      <c r="L1032"/>
    </row>
    <row r="1033" spans="11:12">
      <c r="K1033"/>
      <c r="L1033"/>
    </row>
    <row r="1034" spans="11:12">
      <c r="K1034"/>
      <c r="L1034"/>
    </row>
    <row r="1035" spans="11:12">
      <c r="K1035"/>
      <c r="L1035"/>
    </row>
    <row r="1036" spans="11:12">
      <c r="K1036"/>
      <c r="L1036"/>
    </row>
    <row r="1037" spans="11:12">
      <c r="K1037"/>
      <c r="L1037"/>
    </row>
    <row r="1038" spans="11:12">
      <c r="K1038"/>
      <c r="L1038"/>
    </row>
    <row r="1039" spans="11:12">
      <c r="K1039"/>
      <c r="L1039"/>
    </row>
    <row r="1040" spans="11:12">
      <c r="K1040"/>
      <c r="L1040"/>
    </row>
    <row r="1041" spans="11:12">
      <c r="K1041"/>
      <c r="L1041"/>
    </row>
    <row r="1042" spans="11:12">
      <c r="K1042"/>
      <c r="L1042"/>
    </row>
    <row r="1043" spans="11:12">
      <c r="K1043"/>
      <c r="L1043"/>
    </row>
    <row r="1044" spans="11:12">
      <c r="K1044"/>
      <c r="L1044"/>
    </row>
    <row r="1045" spans="11:12">
      <c r="K1045"/>
      <c r="L1045"/>
    </row>
    <row r="1046" spans="11:12">
      <c r="K1046"/>
      <c r="L1046"/>
    </row>
    <row r="1047" spans="11:12">
      <c r="K1047"/>
      <c r="L1047"/>
    </row>
    <row r="1048" spans="11:12">
      <c r="K1048"/>
      <c r="L1048"/>
    </row>
    <row r="1049" spans="11:12">
      <c r="K1049"/>
      <c r="L1049"/>
    </row>
    <row r="1050" spans="11:12">
      <c r="K1050"/>
      <c r="L1050"/>
    </row>
    <row r="1051" spans="11:12">
      <c r="K1051"/>
      <c r="L1051"/>
    </row>
    <row r="1052" spans="11:12">
      <c r="K1052"/>
      <c r="L1052"/>
    </row>
    <row r="1053" spans="11:12">
      <c r="K1053"/>
      <c r="L1053"/>
    </row>
    <row r="1054" spans="11:12">
      <c r="K1054"/>
      <c r="L1054"/>
    </row>
    <row r="1055" spans="11:12">
      <c r="K1055"/>
      <c r="L1055"/>
    </row>
    <row r="1056" spans="11:12">
      <c r="K1056"/>
      <c r="L1056"/>
    </row>
    <row r="1057" spans="11:12">
      <c r="K1057"/>
      <c r="L1057"/>
    </row>
    <row r="1058" spans="11:12">
      <c r="K1058"/>
      <c r="L1058"/>
    </row>
    <row r="1059" spans="11:12">
      <c r="K1059"/>
      <c r="L1059"/>
    </row>
    <row r="1060" spans="11:12">
      <c r="K1060"/>
      <c r="L1060"/>
    </row>
    <row r="1061" spans="11:12">
      <c r="K1061"/>
      <c r="L1061"/>
    </row>
    <row r="1062" spans="11:12">
      <c r="K1062"/>
      <c r="L1062"/>
    </row>
    <row r="1063" spans="11:12">
      <c r="K1063"/>
      <c r="L1063"/>
    </row>
    <row r="1064" spans="11:12">
      <c r="K1064"/>
      <c r="L1064"/>
    </row>
    <row r="1065" spans="11:12">
      <c r="K1065"/>
      <c r="L1065"/>
    </row>
    <row r="1066" spans="11:12">
      <c r="K1066"/>
      <c r="L1066"/>
    </row>
    <row r="1067" spans="11:12">
      <c r="K1067"/>
      <c r="L1067"/>
    </row>
    <row r="1068" spans="11:12">
      <c r="K1068"/>
      <c r="L1068"/>
    </row>
    <row r="1069" spans="11:12">
      <c r="K1069"/>
      <c r="L1069"/>
    </row>
    <row r="1070" spans="11:12">
      <c r="K1070"/>
      <c r="L1070"/>
    </row>
    <row r="1071" spans="11:12">
      <c r="K1071"/>
      <c r="L1071"/>
    </row>
    <row r="1072" spans="11:12">
      <c r="K1072"/>
      <c r="L1072"/>
    </row>
    <row r="1073" spans="11:12">
      <c r="K1073"/>
      <c r="L1073"/>
    </row>
    <row r="1074" spans="11:12">
      <c r="K1074"/>
      <c r="L1074"/>
    </row>
    <row r="1075" spans="11:12">
      <c r="K1075"/>
      <c r="L1075"/>
    </row>
    <row r="1076" spans="11:12">
      <c r="K1076"/>
      <c r="L1076"/>
    </row>
    <row r="1077" spans="11:12">
      <c r="K1077"/>
      <c r="L1077"/>
    </row>
    <row r="1078" spans="11:12">
      <c r="K1078"/>
      <c r="L1078"/>
    </row>
    <row r="1079" spans="11:12">
      <c r="K1079"/>
      <c r="L1079"/>
    </row>
    <row r="1080" spans="11:12">
      <c r="K1080"/>
      <c r="L1080"/>
    </row>
    <row r="1081" spans="11:12">
      <c r="K1081"/>
      <c r="L1081"/>
    </row>
    <row r="1082" spans="11:12">
      <c r="K1082"/>
      <c r="L1082"/>
    </row>
    <row r="1083" spans="11:12">
      <c r="K1083"/>
      <c r="L1083"/>
    </row>
    <row r="1084" spans="11:12">
      <c r="K1084"/>
      <c r="L1084"/>
    </row>
    <row r="1085" spans="11:12">
      <c r="K1085"/>
      <c r="L1085"/>
    </row>
    <row r="1086" spans="11:12">
      <c r="K1086"/>
      <c r="L1086"/>
    </row>
    <row r="1087" spans="11:12">
      <c r="K1087"/>
      <c r="L1087"/>
    </row>
    <row r="1088" spans="11:12">
      <c r="K1088"/>
      <c r="L1088"/>
    </row>
    <row r="1089" spans="11:12">
      <c r="K1089"/>
      <c r="L1089"/>
    </row>
    <row r="1090" spans="11:12">
      <c r="K1090"/>
      <c r="L1090"/>
    </row>
    <row r="1091" spans="11:12">
      <c r="K1091"/>
      <c r="L1091"/>
    </row>
    <row r="1092" spans="11:12">
      <c r="K1092"/>
      <c r="L1092"/>
    </row>
    <row r="1093" spans="11:12">
      <c r="K1093"/>
      <c r="L1093"/>
    </row>
    <row r="1094" spans="11:12">
      <c r="K1094"/>
      <c r="L1094"/>
    </row>
    <row r="1095" spans="11:12">
      <c r="K1095"/>
      <c r="L1095"/>
    </row>
    <row r="1096" spans="11:12">
      <c r="K1096"/>
      <c r="L1096"/>
    </row>
    <row r="1097" spans="11:12">
      <c r="K1097"/>
      <c r="L1097"/>
    </row>
    <row r="1098" spans="11:12">
      <c r="K1098"/>
      <c r="L1098"/>
    </row>
    <row r="1099" spans="11:12">
      <c r="K1099"/>
      <c r="L1099"/>
    </row>
    <row r="1100" spans="11:12">
      <c r="K1100"/>
      <c r="L1100"/>
    </row>
    <row r="1101" spans="11:12">
      <c r="K1101"/>
      <c r="L1101"/>
    </row>
    <row r="1102" spans="11:12">
      <c r="K1102"/>
      <c r="L1102"/>
    </row>
    <row r="1103" spans="11:12">
      <c r="K1103"/>
      <c r="L1103"/>
    </row>
    <row r="1104" spans="11:12">
      <c r="K1104"/>
      <c r="L1104"/>
    </row>
    <row r="1105" spans="11:12">
      <c r="K1105"/>
      <c r="L1105"/>
    </row>
    <row r="1106" spans="11:12">
      <c r="K1106"/>
      <c r="L1106"/>
    </row>
    <row r="1107" spans="11:12">
      <c r="K1107"/>
      <c r="L1107"/>
    </row>
    <row r="1108" spans="11:12">
      <c r="K1108"/>
      <c r="L1108"/>
    </row>
    <row r="1109" spans="11:12">
      <c r="K1109"/>
      <c r="L1109"/>
    </row>
    <row r="1110" spans="11:12">
      <c r="K1110"/>
      <c r="L1110"/>
    </row>
    <row r="1111" spans="11:12">
      <c r="K1111"/>
      <c r="L1111"/>
    </row>
    <row r="1112" spans="11:12">
      <c r="K1112"/>
      <c r="L1112"/>
    </row>
    <row r="1113" spans="11:12">
      <c r="K1113"/>
      <c r="L1113"/>
    </row>
    <row r="1114" spans="11:12">
      <c r="K1114"/>
      <c r="L1114"/>
    </row>
    <row r="1115" spans="11:12">
      <c r="K1115"/>
      <c r="L1115"/>
    </row>
    <row r="1116" spans="11:12">
      <c r="K1116"/>
      <c r="L1116"/>
    </row>
    <row r="1117" spans="11:12">
      <c r="K1117"/>
      <c r="L1117"/>
    </row>
    <row r="1118" spans="11:12">
      <c r="K1118"/>
      <c r="L1118"/>
    </row>
    <row r="1119" spans="11:12">
      <c r="K1119"/>
      <c r="L1119"/>
    </row>
    <row r="1120" spans="11:12">
      <c r="K1120"/>
      <c r="L1120"/>
    </row>
    <row r="1121" spans="11:12">
      <c r="K1121"/>
      <c r="L1121"/>
    </row>
    <row r="1122" spans="11:12">
      <c r="K1122"/>
      <c r="L1122"/>
    </row>
    <row r="1123" spans="11:12">
      <c r="K1123"/>
      <c r="L1123"/>
    </row>
    <row r="1124" spans="11:12">
      <c r="K1124"/>
      <c r="L1124"/>
    </row>
    <row r="1125" spans="11:12">
      <c r="K1125"/>
      <c r="L1125"/>
    </row>
    <row r="1126" spans="11:12">
      <c r="K1126"/>
      <c r="L1126"/>
    </row>
    <row r="1127" spans="11:12">
      <c r="K1127"/>
      <c r="L1127"/>
    </row>
    <row r="1128" spans="11:12">
      <c r="K1128"/>
      <c r="L1128"/>
    </row>
    <row r="1129" spans="11:12">
      <c r="K1129"/>
      <c r="L1129"/>
    </row>
    <row r="1130" spans="11:12">
      <c r="K1130"/>
      <c r="L1130"/>
    </row>
    <row r="1131" spans="11:12">
      <c r="K1131"/>
      <c r="L1131"/>
    </row>
    <row r="1132" spans="11:12">
      <c r="K1132"/>
      <c r="L1132"/>
    </row>
    <row r="1133" spans="11:12">
      <c r="K1133"/>
      <c r="L1133"/>
    </row>
    <row r="1134" spans="11:12">
      <c r="K1134"/>
      <c r="L1134"/>
    </row>
    <row r="1135" spans="11:12">
      <c r="K1135"/>
      <c r="L1135"/>
    </row>
    <row r="1136" spans="11:12">
      <c r="K1136"/>
      <c r="L1136"/>
    </row>
    <row r="1137" spans="11:12">
      <c r="K1137"/>
      <c r="L1137"/>
    </row>
    <row r="1138" spans="11:12">
      <c r="K1138"/>
      <c r="L1138"/>
    </row>
    <row r="1139" spans="11:12">
      <c r="K1139"/>
      <c r="L1139"/>
    </row>
    <row r="1140" spans="11:12">
      <c r="K1140"/>
      <c r="L1140"/>
    </row>
    <row r="1141" spans="11:12">
      <c r="K1141"/>
      <c r="L1141"/>
    </row>
    <row r="1142" spans="11:12">
      <c r="K1142"/>
      <c r="L1142"/>
    </row>
    <row r="1143" spans="11:12">
      <c r="K1143"/>
      <c r="L1143"/>
    </row>
    <row r="1144" spans="11:12">
      <c r="K1144"/>
      <c r="L1144"/>
    </row>
    <row r="1145" spans="11:12">
      <c r="K1145"/>
      <c r="L1145"/>
    </row>
    <row r="1146" spans="11:12">
      <c r="K1146"/>
      <c r="L1146"/>
    </row>
    <row r="1147" spans="11:12">
      <c r="K1147"/>
      <c r="L1147"/>
    </row>
    <row r="1148" spans="11:12">
      <c r="K1148"/>
      <c r="L1148"/>
    </row>
    <row r="1149" spans="11:12">
      <c r="K1149"/>
      <c r="L1149"/>
    </row>
    <row r="1150" spans="11:12">
      <c r="K1150"/>
      <c r="L1150"/>
    </row>
    <row r="1151" spans="11:12">
      <c r="K1151"/>
      <c r="L1151"/>
    </row>
    <row r="1152" spans="11:12">
      <c r="K1152"/>
      <c r="L1152"/>
    </row>
    <row r="1153" spans="11:12">
      <c r="K1153"/>
      <c r="L1153"/>
    </row>
    <row r="1154" spans="11:12">
      <c r="K1154"/>
      <c r="L1154"/>
    </row>
    <row r="1155" spans="11:12">
      <c r="K1155"/>
      <c r="L1155"/>
    </row>
    <row r="1156" spans="11:12">
      <c r="K1156"/>
      <c r="L1156"/>
    </row>
    <row r="1157" spans="11:12">
      <c r="K1157"/>
      <c r="L1157"/>
    </row>
    <row r="1158" spans="11:12">
      <c r="K1158"/>
      <c r="L1158"/>
    </row>
    <row r="1159" spans="11:12">
      <c r="K1159"/>
      <c r="L1159"/>
    </row>
    <row r="1160" spans="11:12">
      <c r="K1160"/>
      <c r="L1160"/>
    </row>
    <row r="1161" spans="11:12">
      <c r="K1161"/>
      <c r="L1161"/>
    </row>
    <row r="1162" spans="11:12">
      <c r="K1162"/>
      <c r="L1162"/>
    </row>
    <row r="1163" spans="11:12">
      <c r="K1163"/>
      <c r="L1163"/>
    </row>
    <row r="1164" spans="11:12">
      <c r="K1164"/>
      <c r="L1164"/>
    </row>
    <row r="1165" spans="11:12">
      <c r="K1165"/>
      <c r="L1165"/>
    </row>
    <row r="1166" spans="11:12">
      <c r="K1166"/>
      <c r="L1166"/>
    </row>
    <row r="1167" spans="11:12">
      <c r="K1167"/>
      <c r="L1167"/>
    </row>
    <row r="1168" spans="11:12">
      <c r="K1168"/>
      <c r="L1168"/>
    </row>
    <row r="1169" spans="11:12">
      <c r="K1169"/>
      <c r="L1169"/>
    </row>
    <row r="1170" spans="11:12">
      <c r="K1170"/>
      <c r="L1170"/>
    </row>
    <row r="1171" spans="11:12">
      <c r="K1171"/>
      <c r="L1171"/>
    </row>
    <row r="1172" spans="11:12">
      <c r="K1172"/>
      <c r="L1172"/>
    </row>
    <row r="1173" spans="11:12">
      <c r="K1173"/>
      <c r="L1173"/>
    </row>
    <row r="1174" spans="11:12">
      <c r="K1174"/>
      <c r="L1174"/>
    </row>
    <row r="1175" spans="11:12">
      <c r="K1175"/>
      <c r="L1175"/>
    </row>
    <row r="1176" spans="11:12">
      <c r="K1176"/>
      <c r="L1176"/>
    </row>
    <row r="1177" spans="11:12">
      <c r="K1177"/>
      <c r="L1177"/>
    </row>
    <row r="1178" spans="11:12">
      <c r="K1178"/>
      <c r="L1178"/>
    </row>
    <row r="1179" spans="11:12">
      <c r="K1179"/>
      <c r="L1179"/>
    </row>
    <row r="1180" spans="11:12">
      <c r="K1180"/>
      <c r="L1180"/>
    </row>
    <row r="1181" spans="11:12">
      <c r="K1181"/>
      <c r="L1181"/>
    </row>
    <row r="1182" spans="11:12">
      <c r="K1182"/>
      <c r="L1182"/>
    </row>
    <row r="1183" spans="11:12">
      <c r="K1183"/>
      <c r="L1183"/>
    </row>
    <row r="1184" spans="11:12">
      <c r="K1184"/>
      <c r="L1184"/>
    </row>
    <row r="1185" spans="11:12">
      <c r="K1185"/>
      <c r="L1185"/>
    </row>
    <row r="1186" spans="11:12">
      <c r="K1186"/>
      <c r="L1186"/>
    </row>
    <row r="1187" spans="11:12">
      <c r="K1187"/>
      <c r="L1187"/>
    </row>
    <row r="1188" spans="11:12">
      <c r="K1188"/>
      <c r="L1188"/>
    </row>
    <row r="1189" spans="11:12">
      <c r="K1189"/>
      <c r="L1189"/>
    </row>
    <row r="1190" spans="11:12">
      <c r="K1190"/>
      <c r="L1190"/>
    </row>
    <row r="1191" spans="11:12">
      <c r="K1191"/>
      <c r="L1191"/>
    </row>
    <row r="1192" spans="11:12">
      <c r="K1192"/>
      <c r="L1192"/>
    </row>
    <row r="1193" spans="11:12">
      <c r="K1193"/>
      <c r="L1193"/>
    </row>
    <row r="1194" spans="11:12">
      <c r="K1194"/>
      <c r="L1194"/>
    </row>
    <row r="1195" spans="11:12">
      <c r="K1195"/>
      <c r="L1195"/>
    </row>
    <row r="1196" spans="11:12">
      <c r="K1196"/>
      <c r="L1196"/>
    </row>
    <row r="1197" spans="11:12">
      <c r="K1197"/>
      <c r="L1197"/>
    </row>
    <row r="1198" spans="11:12">
      <c r="K1198"/>
      <c r="L1198"/>
    </row>
    <row r="1199" spans="11:12">
      <c r="K1199"/>
      <c r="L1199"/>
    </row>
    <row r="1200" spans="11:12">
      <c r="K1200"/>
      <c r="L1200"/>
    </row>
    <row r="1201" spans="11:12">
      <c r="K1201"/>
      <c r="L1201"/>
    </row>
    <row r="1202" spans="11:12">
      <c r="K1202"/>
      <c r="L1202"/>
    </row>
    <row r="1203" spans="11:12">
      <c r="K1203"/>
      <c r="L1203"/>
    </row>
    <row r="1204" spans="11:12">
      <c r="K1204"/>
      <c r="L1204"/>
    </row>
    <row r="1205" spans="11:12">
      <c r="K1205"/>
      <c r="L1205"/>
    </row>
    <row r="1206" spans="11:12">
      <c r="K1206"/>
      <c r="L1206"/>
    </row>
    <row r="1207" spans="11:12">
      <c r="K1207"/>
      <c r="L1207"/>
    </row>
    <row r="1208" spans="11:12">
      <c r="K1208"/>
      <c r="L1208"/>
    </row>
    <row r="1209" spans="11:12">
      <c r="K1209"/>
      <c r="L1209"/>
    </row>
    <row r="1210" spans="11:12">
      <c r="K1210"/>
      <c r="L1210"/>
    </row>
    <row r="1211" spans="11:12">
      <c r="K1211"/>
      <c r="L1211"/>
    </row>
    <row r="1212" spans="11:12">
      <c r="K1212"/>
      <c r="L1212"/>
    </row>
    <row r="1213" spans="11:12">
      <c r="K1213"/>
      <c r="L1213"/>
    </row>
    <row r="1214" spans="11:12">
      <c r="K1214"/>
      <c r="L1214"/>
    </row>
    <row r="1215" spans="11:12">
      <c r="K1215"/>
      <c r="L1215"/>
    </row>
    <row r="1216" spans="11:12">
      <c r="K1216"/>
      <c r="L1216"/>
    </row>
    <row r="1217" spans="11:12">
      <c r="K1217"/>
      <c r="L1217"/>
    </row>
    <row r="1218" spans="11:12">
      <c r="K1218"/>
      <c r="L1218"/>
    </row>
    <row r="1219" spans="11:12">
      <c r="K1219"/>
      <c r="L1219"/>
    </row>
    <row r="1220" spans="11:12">
      <c r="K1220"/>
      <c r="L1220"/>
    </row>
    <row r="1221" spans="11:12">
      <c r="K1221"/>
      <c r="L1221"/>
    </row>
    <row r="1222" spans="11:12">
      <c r="K1222"/>
      <c r="L1222"/>
    </row>
    <row r="1223" spans="11:12">
      <c r="K1223"/>
      <c r="L1223"/>
    </row>
    <row r="1224" spans="11:12">
      <c r="K1224"/>
      <c r="L1224"/>
    </row>
    <row r="1225" spans="11:12">
      <c r="K1225"/>
      <c r="L1225"/>
    </row>
    <row r="1226" spans="11:12">
      <c r="K1226"/>
      <c r="L1226"/>
    </row>
    <row r="1227" spans="11:12">
      <c r="K1227"/>
      <c r="L1227"/>
    </row>
    <row r="1228" spans="11:12">
      <c r="K1228"/>
      <c r="L1228"/>
    </row>
    <row r="1229" spans="11:12">
      <c r="K1229"/>
      <c r="L1229"/>
    </row>
    <row r="1230" spans="11:12">
      <c r="K1230"/>
      <c r="L1230"/>
    </row>
    <row r="1231" spans="11:12">
      <c r="K1231"/>
      <c r="L1231"/>
    </row>
    <row r="1232" spans="11:12">
      <c r="K1232"/>
      <c r="L1232"/>
    </row>
    <row r="1233" spans="11:12">
      <c r="K1233"/>
      <c r="L1233"/>
    </row>
    <row r="1234" spans="11:12">
      <c r="K1234"/>
      <c r="L1234"/>
    </row>
    <row r="1235" spans="11:12">
      <c r="K1235"/>
      <c r="L1235"/>
    </row>
    <row r="1236" spans="11:12">
      <c r="K1236"/>
      <c r="L1236"/>
    </row>
    <row r="1237" spans="11:12">
      <c r="K1237"/>
      <c r="L1237"/>
    </row>
    <row r="1238" spans="11:12">
      <c r="K1238"/>
      <c r="L1238"/>
    </row>
    <row r="1239" spans="11:12">
      <c r="K1239"/>
      <c r="L1239"/>
    </row>
    <row r="1240" spans="11:12">
      <c r="K1240"/>
      <c r="L1240"/>
    </row>
    <row r="1241" spans="11:12">
      <c r="K1241"/>
      <c r="L1241"/>
    </row>
    <row r="1242" spans="11:12">
      <c r="K1242"/>
      <c r="L1242"/>
    </row>
    <row r="1243" spans="11:12">
      <c r="K1243"/>
      <c r="L1243"/>
    </row>
    <row r="1244" spans="11:12">
      <c r="K1244"/>
      <c r="L1244"/>
    </row>
    <row r="1245" spans="11:12">
      <c r="K1245"/>
      <c r="L1245"/>
    </row>
    <row r="1246" spans="11:12">
      <c r="K1246"/>
      <c r="L1246"/>
    </row>
    <row r="1247" spans="11:12">
      <c r="K1247"/>
      <c r="L1247"/>
    </row>
    <row r="1248" spans="11:12">
      <c r="K1248"/>
      <c r="L1248"/>
    </row>
    <row r="1249" spans="11:12">
      <c r="K1249"/>
      <c r="L1249"/>
    </row>
    <row r="1250" spans="11:12">
      <c r="K1250"/>
      <c r="L1250"/>
    </row>
    <row r="1251" spans="11:12">
      <c r="K1251"/>
      <c r="L1251"/>
    </row>
    <row r="1252" spans="11:12">
      <c r="K1252"/>
      <c r="L1252"/>
    </row>
    <row r="1253" spans="11:12">
      <c r="K1253"/>
      <c r="L1253"/>
    </row>
    <row r="1254" spans="11:12">
      <c r="K1254"/>
      <c r="L1254"/>
    </row>
    <row r="1255" spans="11:12">
      <c r="K1255"/>
      <c r="L1255"/>
    </row>
    <row r="1256" spans="11:12">
      <c r="K1256"/>
      <c r="L1256"/>
    </row>
    <row r="1257" spans="11:12">
      <c r="K1257"/>
      <c r="L1257"/>
    </row>
    <row r="1258" spans="11:12">
      <c r="K1258"/>
      <c r="L1258"/>
    </row>
    <row r="1259" spans="11:12">
      <c r="K1259"/>
      <c r="L1259"/>
    </row>
    <row r="1260" spans="11:12">
      <c r="K1260"/>
      <c r="L1260"/>
    </row>
    <row r="1261" spans="11:12">
      <c r="K1261"/>
      <c r="L1261"/>
    </row>
    <row r="1262" spans="11:12">
      <c r="K1262"/>
      <c r="L1262"/>
    </row>
    <row r="1263" spans="11:12">
      <c r="K1263"/>
      <c r="L1263"/>
    </row>
    <row r="1264" spans="11:12">
      <c r="K1264"/>
      <c r="L1264"/>
    </row>
    <row r="1265" spans="11:12">
      <c r="K1265"/>
      <c r="L1265"/>
    </row>
    <row r="1266" spans="11:12">
      <c r="K1266"/>
      <c r="L1266"/>
    </row>
    <row r="1267" spans="11:12">
      <c r="K1267"/>
      <c r="L1267"/>
    </row>
    <row r="1268" spans="11:12">
      <c r="K1268"/>
      <c r="L1268"/>
    </row>
    <row r="1269" spans="11:12">
      <c r="K1269"/>
      <c r="L1269"/>
    </row>
    <row r="1270" spans="11:12">
      <c r="K1270"/>
      <c r="L1270"/>
    </row>
    <row r="1271" spans="11:12">
      <c r="K1271"/>
      <c r="L1271"/>
    </row>
    <row r="1272" spans="11:12">
      <c r="K1272"/>
      <c r="L1272"/>
    </row>
    <row r="1273" spans="11:12">
      <c r="K1273"/>
      <c r="L1273"/>
    </row>
    <row r="1274" spans="11:12">
      <c r="K1274"/>
      <c r="L1274"/>
    </row>
    <row r="1275" spans="11:12">
      <c r="K1275"/>
      <c r="L1275"/>
    </row>
    <row r="1276" spans="11:12">
      <c r="K1276"/>
      <c r="L1276"/>
    </row>
    <row r="1277" spans="11:12">
      <c r="K1277"/>
      <c r="L1277"/>
    </row>
    <row r="1278" spans="11:12">
      <c r="K1278"/>
      <c r="L1278"/>
    </row>
    <row r="1279" spans="11:12">
      <c r="K1279"/>
      <c r="L1279"/>
    </row>
    <row r="1280" spans="11:12">
      <c r="K1280"/>
      <c r="L1280"/>
    </row>
    <row r="1281" spans="11:12">
      <c r="K1281"/>
      <c r="L1281"/>
    </row>
    <row r="1282" spans="11:12">
      <c r="K1282"/>
      <c r="L1282"/>
    </row>
    <row r="1283" spans="11:12">
      <c r="K1283"/>
      <c r="L1283"/>
    </row>
    <row r="1284" spans="11:12">
      <c r="K1284"/>
      <c r="L1284"/>
    </row>
    <row r="1285" spans="11:12">
      <c r="K1285"/>
      <c r="L1285"/>
    </row>
    <row r="1286" spans="11:12">
      <c r="K1286"/>
      <c r="L1286"/>
    </row>
    <row r="1287" spans="11:12">
      <c r="K1287"/>
      <c r="L1287"/>
    </row>
    <row r="1288" spans="11:12">
      <c r="K1288"/>
      <c r="L1288"/>
    </row>
    <row r="1289" spans="11:12">
      <c r="K1289"/>
      <c r="L1289"/>
    </row>
    <row r="1290" spans="11:12">
      <c r="K1290"/>
      <c r="L1290"/>
    </row>
    <row r="1291" spans="11:12">
      <c r="K1291"/>
      <c r="L1291"/>
    </row>
    <row r="1292" spans="11:12">
      <c r="K1292"/>
      <c r="L1292"/>
    </row>
    <row r="1293" spans="11:12">
      <c r="K1293"/>
      <c r="L1293"/>
    </row>
    <row r="1294" spans="11:12">
      <c r="K1294"/>
      <c r="L1294"/>
    </row>
    <row r="1295" spans="11:12">
      <c r="K1295"/>
      <c r="L1295"/>
    </row>
    <row r="1296" spans="11:12">
      <c r="K1296"/>
      <c r="L1296"/>
    </row>
    <row r="1297" spans="11:12">
      <c r="K1297"/>
      <c r="L1297"/>
    </row>
    <row r="1298" spans="11:12">
      <c r="K1298"/>
      <c r="L1298"/>
    </row>
    <row r="1299" spans="11:12">
      <c r="K1299"/>
      <c r="L1299"/>
    </row>
    <row r="1300" spans="11:12">
      <c r="K1300"/>
      <c r="L1300"/>
    </row>
    <row r="1301" spans="11:12">
      <c r="K1301"/>
      <c r="L1301"/>
    </row>
    <row r="1302" spans="11:12">
      <c r="K1302"/>
      <c r="L1302"/>
    </row>
    <row r="1303" spans="11:12">
      <c r="K1303"/>
      <c r="L1303"/>
    </row>
    <row r="1304" spans="11:12">
      <c r="K1304"/>
      <c r="L1304"/>
    </row>
    <row r="1305" spans="11:12">
      <c r="K1305"/>
      <c r="L1305"/>
    </row>
    <row r="1306" spans="11:12">
      <c r="K1306"/>
      <c r="L1306"/>
    </row>
    <row r="1307" spans="11:12">
      <c r="K1307"/>
      <c r="L1307"/>
    </row>
    <row r="1308" spans="11:12">
      <c r="K1308"/>
      <c r="L1308"/>
    </row>
    <row r="1309" spans="11:12">
      <c r="K1309"/>
      <c r="L1309"/>
    </row>
    <row r="1310" spans="11:12">
      <c r="K1310"/>
      <c r="L1310"/>
    </row>
    <row r="1311" spans="11:12">
      <c r="K1311"/>
      <c r="L1311"/>
    </row>
    <row r="1312" spans="11:12">
      <c r="K1312"/>
      <c r="L1312"/>
    </row>
    <row r="1313" spans="11:12">
      <c r="K1313"/>
      <c r="L1313"/>
    </row>
    <row r="1314" spans="11:12">
      <c r="K1314"/>
      <c r="L1314"/>
    </row>
    <row r="1315" spans="11:12">
      <c r="K1315"/>
      <c r="L1315"/>
    </row>
    <row r="1316" spans="11:12">
      <c r="K1316"/>
      <c r="L1316"/>
    </row>
    <row r="1317" spans="11:12">
      <c r="K1317"/>
      <c r="L1317"/>
    </row>
    <row r="1318" spans="11:12">
      <c r="K1318"/>
      <c r="L1318"/>
    </row>
    <row r="1319" spans="11:12">
      <c r="K1319"/>
      <c r="L1319"/>
    </row>
    <row r="1320" spans="11:12">
      <c r="K1320"/>
      <c r="L1320"/>
    </row>
    <row r="1321" spans="11:12">
      <c r="K1321"/>
      <c r="L1321"/>
    </row>
    <row r="1322" spans="11:12">
      <c r="K1322"/>
      <c r="L1322"/>
    </row>
    <row r="1323" spans="11:12">
      <c r="K1323"/>
      <c r="L1323"/>
    </row>
    <row r="1324" spans="11:12">
      <c r="K1324"/>
      <c r="L1324"/>
    </row>
    <row r="1325" spans="11:12">
      <c r="K1325"/>
      <c r="L1325"/>
    </row>
    <row r="1326" spans="11:12">
      <c r="K1326"/>
      <c r="L1326"/>
    </row>
    <row r="1327" spans="11:12">
      <c r="K1327"/>
      <c r="L1327"/>
    </row>
    <row r="1328" spans="11:12">
      <c r="K1328"/>
      <c r="L1328"/>
    </row>
    <row r="1329" spans="11:12">
      <c r="K1329"/>
      <c r="L1329"/>
    </row>
    <row r="1330" spans="11:12">
      <c r="K1330"/>
      <c r="L1330"/>
    </row>
    <row r="1331" spans="11:12">
      <c r="K1331"/>
      <c r="L1331"/>
    </row>
    <row r="1332" spans="11:12">
      <c r="K1332"/>
      <c r="L1332"/>
    </row>
    <row r="1333" spans="11:12">
      <c r="K1333"/>
      <c r="L1333"/>
    </row>
    <row r="1334" spans="11:12">
      <c r="K1334"/>
      <c r="L1334"/>
    </row>
    <row r="1335" spans="11:12">
      <c r="K1335"/>
      <c r="L1335"/>
    </row>
    <row r="1336" spans="11:12">
      <c r="K1336"/>
      <c r="L1336"/>
    </row>
    <row r="1337" spans="11:12">
      <c r="K1337"/>
      <c r="L1337"/>
    </row>
    <row r="1338" spans="11:12">
      <c r="K1338"/>
      <c r="L1338"/>
    </row>
    <row r="1339" spans="11:12">
      <c r="K1339"/>
      <c r="L1339"/>
    </row>
    <row r="1340" spans="11:12">
      <c r="K1340"/>
      <c r="L1340"/>
    </row>
    <row r="1341" spans="11:12">
      <c r="K1341"/>
      <c r="L1341"/>
    </row>
    <row r="1342" spans="11:12">
      <c r="K1342"/>
      <c r="L1342"/>
    </row>
    <row r="1343" spans="11:12">
      <c r="K1343"/>
      <c r="L1343"/>
    </row>
    <row r="1344" spans="11:12">
      <c r="K1344"/>
      <c r="L1344"/>
    </row>
    <row r="1345" spans="11:12">
      <c r="K1345"/>
      <c r="L1345"/>
    </row>
    <row r="1346" spans="11:12">
      <c r="K1346"/>
      <c r="L1346"/>
    </row>
    <row r="1347" spans="11:12">
      <c r="K1347"/>
      <c r="L1347"/>
    </row>
    <row r="1348" spans="11:12">
      <c r="K1348"/>
      <c r="L1348"/>
    </row>
    <row r="1349" spans="11:12">
      <c r="K1349"/>
      <c r="L1349"/>
    </row>
    <row r="1350" spans="11:12">
      <c r="K1350"/>
      <c r="L1350"/>
    </row>
    <row r="1351" spans="11:12">
      <c r="K1351"/>
      <c r="L1351"/>
    </row>
    <row r="1352" spans="11:12">
      <c r="K1352"/>
      <c r="L1352"/>
    </row>
    <row r="1353" spans="11:12">
      <c r="K1353"/>
      <c r="L1353"/>
    </row>
    <row r="1354" spans="11:12">
      <c r="K1354"/>
      <c r="L1354"/>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G2:FL166"/>
  <sheetViews>
    <sheetView zoomScale="70" zoomScaleNormal="70" zoomScalePageLayoutView="115" workbookViewId="0">
      <selection activeCell="H9" sqref="H9"/>
    </sheetView>
  </sheetViews>
  <sheetFormatPr defaultColWidth="8.87890625" defaultRowHeight="14.35"/>
  <cols>
    <col min="1" max="4" width="8.87890625" style="254"/>
    <col min="5" max="5" width="75.1171875" style="254" customWidth="1"/>
    <col min="6" max="6" width="8.87890625" style="254"/>
    <col min="7" max="7" width="17.87890625" style="254" customWidth="1"/>
    <col min="8" max="8" width="29.1171875" style="254" bestFit="1" customWidth="1"/>
    <col min="9" max="114" width="17.87890625" style="254" customWidth="1"/>
    <col min="115" max="115" width="17.1171875" style="254" customWidth="1"/>
    <col min="116" max="116" width="38.703125" style="140" customWidth="1"/>
    <col min="117" max="117" width="67.29296875" style="254" customWidth="1"/>
    <col min="118" max="118" width="68" style="254" customWidth="1"/>
    <col min="119" max="119" width="23.1171875" style="254" customWidth="1"/>
    <col min="120" max="120" width="28.5859375" style="254" customWidth="1"/>
    <col min="121" max="121" width="39.703125" style="254" customWidth="1"/>
    <col min="122" max="122" width="36.1171875" style="254" customWidth="1"/>
    <col min="123" max="123" width="17.41015625" style="254" customWidth="1"/>
    <col min="124" max="124" width="28.41015625" style="254" customWidth="1"/>
    <col min="125" max="125" width="49.5859375" style="254" customWidth="1"/>
    <col min="126" max="126" width="39.29296875" style="254" customWidth="1"/>
    <col min="127" max="127" width="52.87890625" style="254" customWidth="1"/>
    <col min="128" max="128" width="39.29296875" style="254" customWidth="1"/>
    <col min="129" max="129" width="36.1171875" style="254" customWidth="1"/>
    <col min="130" max="130" width="64.87890625" style="254" customWidth="1"/>
    <col min="131" max="131" width="31.41015625" style="254" customWidth="1"/>
    <col min="132" max="132" width="47.29296875" style="254" customWidth="1"/>
    <col min="133" max="133" width="36.87890625" style="254" customWidth="1"/>
    <col min="134" max="134" width="46" style="254" customWidth="1"/>
    <col min="135" max="135" width="27.5859375" style="254" customWidth="1"/>
    <col min="136" max="136" width="28.29296875" style="254" customWidth="1"/>
    <col min="137" max="137" width="42.5859375" style="254" customWidth="1"/>
    <col min="138" max="138" width="53.87890625" style="254" customWidth="1"/>
    <col min="139" max="139" width="57" style="254" customWidth="1"/>
    <col min="140" max="140" width="50.29296875" style="254" customWidth="1"/>
    <col min="141" max="141" width="28.41015625" style="254" customWidth="1"/>
    <col min="142" max="142" width="53.41015625" style="254" customWidth="1"/>
    <col min="143" max="143" width="28.1171875" style="254" customWidth="1"/>
    <col min="144" max="144" width="16.5859375" style="254" customWidth="1"/>
    <col min="145" max="145" width="28.87890625" style="254" customWidth="1"/>
    <col min="146" max="146" width="38" style="254" customWidth="1"/>
    <col min="147" max="147" width="9.29296875" style="254" customWidth="1"/>
    <col min="148" max="148" width="31.41015625" style="254" customWidth="1"/>
    <col min="149" max="149" width="27.5859375" style="254" customWidth="1"/>
    <col min="150" max="150" width="28.29296875" style="254" customWidth="1"/>
    <col min="151" max="151" width="27.87890625" style="254" customWidth="1"/>
    <col min="152" max="152" width="47.29296875" style="254" customWidth="1"/>
    <col min="153" max="153" width="28.29296875" style="254" customWidth="1"/>
    <col min="154" max="154" width="42" style="254" customWidth="1"/>
    <col min="155" max="155" width="27.703125" style="254" customWidth="1"/>
    <col min="156" max="156" width="45.1171875" style="254" customWidth="1"/>
    <col min="157" max="157" width="47.29296875" style="254" customWidth="1"/>
    <col min="158" max="158" width="29.1171875" style="254" customWidth="1"/>
    <col min="159" max="159" width="27.703125" style="254" customWidth="1"/>
    <col min="160" max="160" width="28.87890625" style="254" customWidth="1"/>
    <col min="161" max="161" width="29.1171875" style="254" customWidth="1"/>
    <col min="162" max="162" width="42.5859375" style="254" customWidth="1"/>
    <col min="163" max="163" width="30.5859375" style="254" customWidth="1"/>
    <col min="164" max="164" width="52.41015625" style="254" customWidth="1"/>
    <col min="165" max="165" width="52.703125" style="254" customWidth="1"/>
    <col min="166" max="166" width="45" style="254" bestFit="1" customWidth="1"/>
    <col min="167" max="167" width="48.1171875" style="254" bestFit="1" customWidth="1"/>
    <col min="168" max="168" width="16.29296875" style="254" bestFit="1" customWidth="1"/>
    <col min="169" max="16384" width="8.87890625" style="254"/>
  </cols>
  <sheetData>
    <row r="2" spans="7:168">
      <c r="G2" s="4" t="s">
        <v>282</v>
      </c>
      <c r="H2" s="334" t="s">
        <v>1742</v>
      </c>
    </row>
    <row r="4" spans="7:168">
      <c r="G4" s="6" t="s">
        <v>274</v>
      </c>
      <c r="H4" s="255" t="s">
        <v>276</v>
      </c>
      <c r="DL4" s="254"/>
    </row>
    <row r="5" spans="7:168">
      <c r="G5" s="5" t="s">
        <v>160</v>
      </c>
      <c r="H5" s="141">
        <v>2289000000</v>
      </c>
      <c r="DL5" s="254"/>
    </row>
    <row r="6" spans="7:168" s="255" customFormat="1">
      <c r="G6" s="5" t="s">
        <v>239</v>
      </c>
      <c r="H6" s="141">
        <v>2073660000</v>
      </c>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c r="DM6" s="254"/>
      <c r="DN6" s="254"/>
      <c r="DO6" s="254"/>
      <c r="DP6" s="254"/>
      <c r="DQ6" s="254"/>
      <c r="DR6" s="254"/>
      <c r="DS6" s="254"/>
      <c r="DT6" s="254"/>
      <c r="DU6" s="254"/>
      <c r="DV6" s="254"/>
      <c r="DW6" s="254"/>
      <c r="DX6" s="254"/>
      <c r="DY6" s="254"/>
      <c r="DZ6" s="254"/>
      <c r="EA6" s="254"/>
      <c r="EB6" s="254"/>
      <c r="EC6" s="254"/>
      <c r="ED6" s="254"/>
      <c r="EE6" s="254"/>
      <c r="EF6" s="254"/>
      <c r="EG6" s="254"/>
      <c r="EH6" s="254"/>
      <c r="EI6" s="254"/>
      <c r="EJ6" s="254"/>
      <c r="EK6" s="254"/>
      <c r="EL6" s="254"/>
      <c r="EM6" s="254"/>
      <c r="EN6" s="254"/>
      <c r="EO6" s="254"/>
      <c r="EP6" s="254"/>
      <c r="EQ6" s="254"/>
      <c r="ER6" s="254"/>
      <c r="ES6" s="254"/>
      <c r="ET6" s="254"/>
      <c r="EU6" s="254"/>
      <c r="EV6" s="254"/>
      <c r="EW6" s="254"/>
      <c r="EX6" s="254"/>
      <c r="EY6" s="254"/>
      <c r="EZ6" s="254"/>
      <c r="FA6" s="254"/>
      <c r="FB6" s="254"/>
      <c r="FC6" s="254"/>
      <c r="FD6" s="254"/>
      <c r="FE6" s="254"/>
      <c r="FF6" s="254"/>
      <c r="FG6" s="254"/>
      <c r="FH6" s="254"/>
      <c r="FI6" s="254"/>
      <c r="FJ6" s="254"/>
      <c r="FK6" s="254"/>
      <c r="FL6" s="254"/>
    </row>
    <row r="7" spans="7:168">
      <c r="G7" s="5" t="s">
        <v>45</v>
      </c>
      <c r="H7" s="141">
        <v>112500000</v>
      </c>
      <c r="DL7" s="254"/>
    </row>
    <row r="8" spans="7:168">
      <c r="G8" s="5" t="s">
        <v>1309</v>
      </c>
      <c r="H8" s="141">
        <v>72060000</v>
      </c>
      <c r="DL8" s="254"/>
    </row>
    <row r="9" spans="7:168">
      <c r="G9" s="5" t="s">
        <v>275</v>
      </c>
      <c r="H9" s="141">
        <v>4547220000</v>
      </c>
      <c r="DL9" s="254"/>
    </row>
    <row r="10" spans="7:168">
      <c r="G10"/>
      <c r="H10"/>
      <c r="DL10" s="254"/>
    </row>
    <row r="11" spans="7:168">
      <c r="G11"/>
      <c r="H11"/>
      <c r="DL11" s="254"/>
    </row>
    <row r="12" spans="7:168">
      <c r="G12"/>
      <c r="H12"/>
      <c r="DL12" s="254"/>
    </row>
    <row r="13" spans="7:168">
      <c r="G13"/>
      <c r="H13"/>
      <c r="DL13" s="254"/>
    </row>
    <row r="14" spans="7:168">
      <c r="G14"/>
      <c r="H14"/>
      <c r="DL14" s="254"/>
    </row>
    <row r="15" spans="7:168">
      <c r="G15"/>
      <c r="H15"/>
      <c r="DL15" s="254"/>
    </row>
    <row r="16" spans="7:168">
      <c r="G16"/>
      <c r="H16"/>
      <c r="DL16" s="254"/>
    </row>
    <row r="17" spans="7:116">
      <c r="G17"/>
      <c r="H17"/>
      <c r="DL17" s="254"/>
    </row>
    <row r="18" spans="7:116">
      <c r="G18"/>
      <c r="H18"/>
      <c r="DL18" s="254"/>
    </row>
    <row r="19" spans="7:116">
      <c r="G19"/>
      <c r="H19"/>
      <c r="DL19" s="254"/>
    </row>
    <row r="20" spans="7:116">
      <c r="G20"/>
      <c r="H20"/>
      <c r="DL20" s="254"/>
    </row>
    <row r="21" spans="7:116">
      <c r="G21"/>
      <c r="H21"/>
      <c r="DL21" s="254"/>
    </row>
    <row r="22" spans="7:116">
      <c r="G22"/>
      <c r="H22"/>
      <c r="DL22" s="254"/>
    </row>
    <row r="23" spans="7:116">
      <c r="G23"/>
      <c r="H23"/>
      <c r="DL23" s="254"/>
    </row>
    <row r="24" spans="7:116">
      <c r="G24"/>
      <c r="H24"/>
      <c r="DL24" s="254"/>
    </row>
    <row r="25" spans="7:116">
      <c r="G25"/>
      <c r="H25"/>
      <c r="DL25" s="254"/>
    </row>
    <row r="26" spans="7:116">
      <c r="DL26" s="254"/>
    </row>
    <row r="27" spans="7:116">
      <c r="DL27" s="254"/>
    </row>
    <row r="28" spans="7:116">
      <c r="DL28" s="254"/>
    </row>
    <row r="29" spans="7:116">
      <c r="DL29" s="254"/>
    </row>
    <row r="30" spans="7:116">
      <c r="DL30" s="254"/>
    </row>
    <row r="31" spans="7:116">
      <c r="DL31" s="254"/>
    </row>
    <row r="32" spans="7:116">
      <c r="DL32" s="254"/>
    </row>
    <row r="33" spans="116:116">
      <c r="DL33" s="254"/>
    </row>
    <row r="34" spans="116:116">
      <c r="DL34" s="254"/>
    </row>
    <row r="35" spans="116:116">
      <c r="DL35" s="254"/>
    </row>
    <row r="36" spans="116:116">
      <c r="DL36" s="254"/>
    </row>
    <row r="37" spans="116:116">
      <c r="DL37" s="254"/>
    </row>
    <row r="38" spans="116:116">
      <c r="DL38" s="254"/>
    </row>
    <row r="39" spans="116:116">
      <c r="DL39" s="254"/>
    </row>
    <row r="40" spans="116:116">
      <c r="DL40" s="254"/>
    </row>
    <row r="41" spans="116:116">
      <c r="DL41" s="254"/>
    </row>
    <row r="42" spans="116:116">
      <c r="DL42" s="254"/>
    </row>
    <row r="43" spans="116:116">
      <c r="DL43" s="254"/>
    </row>
    <row r="44" spans="116:116">
      <c r="DL44" s="254"/>
    </row>
    <row r="45" spans="116:116">
      <c r="DL45" s="254"/>
    </row>
    <row r="46" spans="116:116">
      <c r="DL46" s="254"/>
    </row>
    <row r="47" spans="116:116">
      <c r="DL47" s="254"/>
    </row>
    <row r="48" spans="116:116">
      <c r="DL48" s="254"/>
    </row>
    <row r="49" spans="116:116">
      <c r="DL49" s="254"/>
    </row>
    <row r="50" spans="116:116">
      <c r="DL50" s="254"/>
    </row>
    <row r="51" spans="116:116">
      <c r="DL51" s="254"/>
    </row>
    <row r="52" spans="116:116">
      <c r="DL52" s="254"/>
    </row>
    <row r="53" spans="116:116">
      <c r="DL53" s="254"/>
    </row>
    <row r="54" spans="116:116">
      <c r="DL54" s="254"/>
    </row>
    <row r="55" spans="116:116">
      <c r="DL55" s="254"/>
    </row>
    <row r="56" spans="116:116">
      <c r="DL56" s="254"/>
    </row>
    <row r="57" spans="116:116">
      <c r="DL57" s="254"/>
    </row>
    <row r="58" spans="116:116">
      <c r="DL58" s="254"/>
    </row>
    <row r="59" spans="116:116">
      <c r="DL59" s="254"/>
    </row>
    <row r="60" spans="116:116">
      <c r="DL60" s="254"/>
    </row>
    <row r="61" spans="116:116">
      <c r="DL61" s="254"/>
    </row>
    <row r="62" spans="116:116">
      <c r="DL62" s="254"/>
    </row>
    <row r="63" spans="116:116">
      <c r="DL63" s="254"/>
    </row>
    <row r="64" spans="116:116">
      <c r="DL64" s="254"/>
    </row>
    <row r="65" spans="116:116">
      <c r="DL65" s="254"/>
    </row>
    <row r="66" spans="116:116">
      <c r="DL66" s="254"/>
    </row>
    <row r="67" spans="116:116">
      <c r="DL67" s="254"/>
    </row>
    <row r="68" spans="116:116">
      <c r="DL68" s="254"/>
    </row>
    <row r="69" spans="116:116">
      <c r="DL69" s="254"/>
    </row>
    <row r="70" spans="116:116">
      <c r="DL70" s="254"/>
    </row>
    <row r="71" spans="116:116">
      <c r="DL71" s="254"/>
    </row>
    <row r="72" spans="116:116">
      <c r="DL72" s="254"/>
    </row>
    <row r="73" spans="116:116">
      <c r="DL73" s="254"/>
    </row>
    <row r="74" spans="116:116">
      <c r="DL74" s="254"/>
    </row>
    <row r="75" spans="116:116">
      <c r="DL75" s="254"/>
    </row>
    <row r="76" spans="116:116">
      <c r="DL76" s="254"/>
    </row>
    <row r="77" spans="116:116">
      <c r="DL77" s="254"/>
    </row>
    <row r="78" spans="116:116">
      <c r="DL78" s="254"/>
    </row>
    <row r="79" spans="116:116">
      <c r="DL79" s="254"/>
    </row>
    <row r="80" spans="116:116">
      <c r="DL80" s="254"/>
    </row>
    <row r="81" spans="116:116">
      <c r="DL81" s="254"/>
    </row>
    <row r="82" spans="116:116">
      <c r="DL82" s="254"/>
    </row>
    <row r="83" spans="116:116">
      <c r="DL83" s="254"/>
    </row>
    <row r="84" spans="116:116">
      <c r="DL84" s="254"/>
    </row>
    <row r="85" spans="116:116">
      <c r="DL85" s="254"/>
    </row>
    <row r="86" spans="116:116">
      <c r="DL86" s="254"/>
    </row>
    <row r="87" spans="116:116">
      <c r="DL87" s="254"/>
    </row>
    <row r="88" spans="116:116">
      <c r="DL88" s="254"/>
    </row>
    <row r="89" spans="116:116">
      <c r="DL89" s="254"/>
    </row>
    <row r="90" spans="116:116">
      <c r="DL90" s="254"/>
    </row>
    <row r="91" spans="116:116">
      <c r="DL91" s="254"/>
    </row>
    <row r="92" spans="116:116">
      <c r="DL92" s="254"/>
    </row>
    <row r="93" spans="116:116">
      <c r="DL93" s="254"/>
    </row>
    <row r="94" spans="116:116">
      <c r="DL94" s="254"/>
    </row>
    <row r="95" spans="116:116">
      <c r="DL95" s="254"/>
    </row>
    <row r="96" spans="116:116">
      <c r="DL96" s="254"/>
    </row>
    <row r="97" spans="116:116">
      <c r="DL97" s="254"/>
    </row>
    <row r="98" spans="116:116">
      <c r="DL98" s="254"/>
    </row>
    <row r="99" spans="116:116">
      <c r="DL99" s="254"/>
    </row>
    <row r="100" spans="116:116">
      <c r="DL100" s="254"/>
    </row>
    <row r="101" spans="116:116">
      <c r="DL101" s="254"/>
    </row>
    <row r="102" spans="116:116">
      <c r="DL102" s="254"/>
    </row>
    <row r="103" spans="116:116">
      <c r="DL103" s="254"/>
    </row>
    <row r="104" spans="116:116">
      <c r="DL104" s="254"/>
    </row>
    <row r="105" spans="116:116">
      <c r="DL105" s="254"/>
    </row>
    <row r="106" spans="116:116">
      <c r="DL106" s="254"/>
    </row>
    <row r="107" spans="116:116">
      <c r="DL107" s="254"/>
    </row>
    <row r="108" spans="116:116">
      <c r="DL108" s="254"/>
    </row>
    <row r="109" spans="116:116">
      <c r="DL109" s="254"/>
    </row>
    <row r="110" spans="116:116">
      <c r="DL110" s="254"/>
    </row>
    <row r="111" spans="116:116">
      <c r="DL111" s="254"/>
    </row>
    <row r="112" spans="116:116">
      <c r="DL112" s="254"/>
    </row>
    <row r="113" spans="116:116">
      <c r="DL113" s="254"/>
    </row>
    <row r="114" spans="116:116">
      <c r="DL114" s="254"/>
    </row>
    <row r="115" spans="116:116">
      <c r="DL115" s="254"/>
    </row>
    <row r="116" spans="116:116">
      <c r="DL116" s="254"/>
    </row>
    <row r="117" spans="116:116">
      <c r="DL117" s="254"/>
    </row>
    <row r="118" spans="116:116">
      <c r="DL118" s="254"/>
    </row>
    <row r="119" spans="116:116">
      <c r="DL119" s="254"/>
    </row>
    <row r="120" spans="116:116">
      <c r="DL120" s="254"/>
    </row>
    <row r="121" spans="116:116">
      <c r="DL121" s="254"/>
    </row>
    <row r="122" spans="116:116">
      <c r="DL122" s="254"/>
    </row>
    <row r="123" spans="116:116">
      <c r="DL123" s="254"/>
    </row>
    <row r="124" spans="116:116">
      <c r="DL124" s="254"/>
    </row>
    <row r="125" spans="116:116">
      <c r="DL125" s="254"/>
    </row>
    <row r="126" spans="116:116">
      <c r="DL126" s="254"/>
    </row>
    <row r="127" spans="116:116">
      <c r="DL127" s="254"/>
    </row>
    <row r="128" spans="116:116">
      <c r="DL128" s="254"/>
    </row>
    <row r="129" spans="116:116">
      <c r="DL129" s="254"/>
    </row>
    <row r="130" spans="116:116">
      <c r="DL130" s="254"/>
    </row>
    <row r="131" spans="116:116">
      <c r="DL131" s="254"/>
    </row>
    <row r="132" spans="116:116">
      <c r="DL132" s="254"/>
    </row>
    <row r="133" spans="116:116">
      <c r="DL133" s="254"/>
    </row>
    <row r="134" spans="116:116">
      <c r="DL134" s="254"/>
    </row>
    <row r="135" spans="116:116">
      <c r="DL135" s="254"/>
    </row>
    <row r="136" spans="116:116">
      <c r="DL136" s="254"/>
    </row>
    <row r="137" spans="116:116">
      <c r="DL137" s="254"/>
    </row>
    <row r="138" spans="116:116">
      <c r="DL138" s="254"/>
    </row>
    <row r="139" spans="116:116">
      <c r="DL139" s="254"/>
    </row>
    <row r="140" spans="116:116">
      <c r="DL140" s="254"/>
    </row>
    <row r="141" spans="116:116">
      <c r="DL141" s="254"/>
    </row>
    <row r="142" spans="116:116">
      <c r="DL142" s="254"/>
    </row>
    <row r="143" spans="116:116">
      <c r="DL143" s="254"/>
    </row>
    <row r="144" spans="116:116">
      <c r="DL144" s="254"/>
    </row>
    <row r="145" spans="116:116">
      <c r="DL145" s="254"/>
    </row>
    <row r="146" spans="116:116">
      <c r="DL146" s="254"/>
    </row>
    <row r="147" spans="116:116">
      <c r="DL147" s="254"/>
    </row>
    <row r="148" spans="116:116">
      <c r="DL148" s="254"/>
    </row>
    <row r="149" spans="116:116">
      <c r="DL149" s="254"/>
    </row>
    <row r="150" spans="116:116">
      <c r="DL150" s="254"/>
    </row>
    <row r="151" spans="116:116">
      <c r="DL151" s="254"/>
    </row>
    <row r="152" spans="116:116">
      <c r="DL152" s="254"/>
    </row>
    <row r="153" spans="116:116">
      <c r="DL153" s="254"/>
    </row>
    <row r="154" spans="116:116">
      <c r="DL154" s="254"/>
    </row>
    <row r="155" spans="116:116">
      <c r="DL155" s="254"/>
    </row>
    <row r="156" spans="116:116">
      <c r="DL156" s="254"/>
    </row>
    <row r="157" spans="116:116">
      <c r="DL157" s="254"/>
    </row>
    <row r="158" spans="116:116">
      <c r="DL158" s="254"/>
    </row>
    <row r="159" spans="116:116">
      <c r="DL159" s="254"/>
    </row>
    <row r="160" spans="116:116">
      <c r="DL160" s="254"/>
    </row>
    <row r="161" spans="116:116">
      <c r="DL161" s="254"/>
    </row>
    <row r="162" spans="116:116">
      <c r="DL162" s="254"/>
    </row>
    <row r="163" spans="116:116">
      <c r="DL163" s="254"/>
    </row>
    <row r="164" spans="116:116">
      <c r="DL164" s="254"/>
    </row>
    <row r="165" spans="116:116">
      <c r="DL165" s="254"/>
    </row>
    <row r="166" spans="116:116">
      <c r="DL166" s="254"/>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G2:FL166"/>
  <sheetViews>
    <sheetView zoomScale="70" zoomScaleNormal="70" zoomScalePageLayoutView="115" workbookViewId="0">
      <selection activeCell="G11" sqref="G11"/>
    </sheetView>
  </sheetViews>
  <sheetFormatPr defaultColWidth="8.87890625" defaultRowHeight="14.35"/>
  <cols>
    <col min="5" max="5" width="75.1171875" customWidth="1"/>
    <col min="7" max="7" width="17.87890625" customWidth="1"/>
    <col min="8" max="8" width="29.1171875" bestFit="1" customWidth="1"/>
    <col min="9" max="114" width="17.87890625" customWidth="1"/>
    <col min="115" max="115" width="17.1171875" customWidth="1"/>
    <col min="116" max="116" width="38.703125" style="140" customWidth="1"/>
    <col min="117" max="117" width="67.29296875" customWidth="1"/>
    <col min="118" max="118" width="68" customWidth="1"/>
    <col min="119" max="119" width="23.1171875" customWidth="1"/>
    <col min="120" max="120" width="28.5859375" customWidth="1"/>
    <col min="121" max="121" width="39.703125" customWidth="1"/>
    <col min="122" max="122" width="36.1171875" customWidth="1"/>
    <col min="123" max="123" width="17.41015625" customWidth="1"/>
    <col min="124" max="124" width="28.41015625" customWidth="1"/>
    <col min="125" max="125" width="49.5859375" customWidth="1"/>
    <col min="126" max="126" width="39.29296875" customWidth="1"/>
    <col min="127" max="127" width="52.87890625" customWidth="1"/>
    <col min="128" max="128" width="39.29296875" customWidth="1"/>
    <col min="129" max="129" width="36.1171875" customWidth="1"/>
    <col min="130" max="130" width="64.87890625" customWidth="1"/>
    <col min="131" max="131" width="31.41015625" customWidth="1"/>
    <col min="132" max="132" width="47.29296875" customWidth="1"/>
    <col min="133" max="133" width="36.87890625" customWidth="1"/>
    <col min="134" max="134" width="46" customWidth="1"/>
    <col min="135" max="135" width="27.5859375" customWidth="1"/>
    <col min="136" max="136" width="28.29296875" customWidth="1"/>
    <col min="137" max="137" width="42.5859375" customWidth="1"/>
    <col min="138" max="138" width="53.87890625" customWidth="1"/>
    <col min="139" max="139" width="57" customWidth="1"/>
    <col min="140" max="140" width="50.29296875" customWidth="1"/>
    <col min="141" max="141" width="28.41015625" customWidth="1"/>
    <col min="142" max="142" width="53.41015625" customWidth="1"/>
    <col min="143" max="143" width="28.1171875" customWidth="1"/>
    <col min="144" max="144" width="16.5859375" customWidth="1"/>
    <col min="145" max="145" width="28.87890625" customWidth="1"/>
    <col min="146" max="146" width="38" customWidth="1"/>
    <col min="147" max="147" width="9.29296875" customWidth="1"/>
    <col min="148" max="148" width="31.41015625" customWidth="1"/>
    <col min="149" max="149" width="27.5859375" customWidth="1"/>
    <col min="150" max="150" width="28.29296875" customWidth="1"/>
    <col min="151" max="151" width="27.87890625" customWidth="1"/>
    <col min="152" max="152" width="47.29296875" customWidth="1"/>
    <col min="153" max="153" width="28.29296875" customWidth="1"/>
    <col min="154" max="154" width="42" customWidth="1"/>
    <col min="155" max="155" width="27.703125" customWidth="1"/>
    <col min="156" max="156" width="45.1171875" customWidth="1"/>
    <col min="157" max="157" width="47.29296875" customWidth="1"/>
    <col min="158" max="158" width="29.1171875" customWidth="1"/>
    <col min="159" max="159" width="27.703125" customWidth="1"/>
    <col min="160" max="160" width="28.87890625" customWidth="1"/>
    <col min="161" max="161" width="29.1171875" customWidth="1"/>
    <col min="162" max="162" width="42.5859375" customWidth="1"/>
    <col min="163" max="163" width="30.5859375" customWidth="1"/>
    <col min="164" max="164" width="52.41015625" customWidth="1"/>
    <col min="165" max="165" width="52.703125" customWidth="1"/>
    <col min="166" max="166" width="45" bestFit="1" customWidth="1"/>
    <col min="167" max="167" width="48.1171875" bestFit="1" customWidth="1"/>
    <col min="168" max="168" width="16.29296875" bestFit="1" customWidth="1"/>
  </cols>
  <sheetData>
    <row r="2" spans="7:168">
      <c r="G2" s="4" t="s">
        <v>282</v>
      </c>
      <c r="H2" s="254" t="s">
        <v>1327</v>
      </c>
    </row>
    <row r="4" spans="7:168">
      <c r="G4" s="6" t="s">
        <v>274</v>
      </c>
      <c r="H4" s="255" t="s">
        <v>276</v>
      </c>
      <c r="DL4"/>
    </row>
    <row r="5" spans="7:168">
      <c r="G5" s="5" t="s">
        <v>160</v>
      </c>
      <c r="H5" s="141">
        <v>9627736319.7120667</v>
      </c>
      <c r="DL5"/>
    </row>
    <row r="6" spans="7:168" s="1" customFormat="1">
      <c r="G6" s="5" t="s">
        <v>239</v>
      </c>
      <c r="H6" s="141">
        <v>7611367419.8587122</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row>
    <row r="7" spans="7:168">
      <c r="G7" s="5" t="s">
        <v>1309</v>
      </c>
      <c r="H7" s="141">
        <v>1642578257.4417455</v>
      </c>
      <c r="DL7"/>
    </row>
    <row r="8" spans="7:168">
      <c r="G8" s="5" t="s">
        <v>65</v>
      </c>
      <c r="H8" s="141">
        <v>1388186681.7191114</v>
      </c>
      <c r="DL8"/>
    </row>
    <row r="9" spans="7:168">
      <c r="G9" s="5" t="s">
        <v>75</v>
      </c>
      <c r="H9" s="141">
        <v>1293772563.8789222</v>
      </c>
      <c r="DL9"/>
    </row>
    <row r="10" spans="7:168">
      <c r="G10" s="5" t="s">
        <v>208</v>
      </c>
      <c r="H10" s="141">
        <v>1015211180.8283162</v>
      </c>
      <c r="DL10"/>
    </row>
    <row r="11" spans="7:168">
      <c r="G11" s="5" t="s">
        <v>33</v>
      </c>
      <c r="H11" s="141">
        <v>221812624.68049896</v>
      </c>
      <c r="DL11"/>
    </row>
    <row r="12" spans="7:168">
      <c r="G12" s="5" t="s">
        <v>190</v>
      </c>
      <c r="H12" s="141">
        <v>216696973.26377851</v>
      </c>
      <c r="DL12"/>
    </row>
    <row r="13" spans="7:168">
      <c r="G13" s="5" t="s">
        <v>45</v>
      </c>
      <c r="H13" s="141">
        <v>180359972.92487353</v>
      </c>
      <c r="DL13"/>
    </row>
    <row r="14" spans="7:168">
      <c r="G14" s="5" t="s">
        <v>20</v>
      </c>
      <c r="H14" s="141">
        <v>152156915.0854916</v>
      </c>
      <c r="DL14"/>
    </row>
    <row r="15" spans="7:168">
      <c r="G15" s="5" t="s">
        <v>86</v>
      </c>
      <c r="H15" s="141">
        <v>148853774.92973286</v>
      </c>
      <c r="DL15"/>
    </row>
    <row r="16" spans="7:168">
      <c r="G16" s="5" t="s">
        <v>1308</v>
      </c>
      <c r="H16" s="141">
        <v>97472208.832305297</v>
      </c>
      <c r="DL16"/>
    </row>
    <row r="17" spans="7:116">
      <c r="G17" s="5" t="s">
        <v>1253</v>
      </c>
      <c r="H17" s="141">
        <v>90017644.982695535</v>
      </c>
      <c r="DL17"/>
    </row>
    <row r="18" spans="7:116">
      <c r="G18" s="5" t="s">
        <v>11</v>
      </c>
      <c r="H18" s="141">
        <v>82994731.884936169</v>
      </c>
      <c r="DL18"/>
    </row>
    <row r="19" spans="7:116">
      <c r="G19" s="5" t="s">
        <v>1149</v>
      </c>
      <c r="H19" s="141">
        <v>74616365.480322465</v>
      </c>
      <c r="DL19"/>
    </row>
    <row r="20" spans="7:116">
      <c r="G20" s="5" t="s">
        <v>85</v>
      </c>
      <c r="H20" s="141">
        <v>55416330.728047349</v>
      </c>
      <c r="DL20"/>
    </row>
    <row r="21" spans="7:116">
      <c r="G21" s="5" t="s">
        <v>78</v>
      </c>
      <c r="H21" s="141">
        <v>53540010.435692094</v>
      </c>
      <c r="DL21"/>
    </row>
    <row r="22" spans="7:116">
      <c r="G22" s="5" t="s">
        <v>25</v>
      </c>
      <c r="H22" s="141">
        <v>43237687.022421069</v>
      </c>
      <c r="DL22"/>
    </row>
    <row r="23" spans="7:116">
      <c r="G23" s="5" t="s">
        <v>36</v>
      </c>
      <c r="H23" s="141">
        <v>28638708.410169277</v>
      </c>
      <c r="DL23"/>
    </row>
    <row r="24" spans="7:116">
      <c r="G24" s="5" t="s">
        <v>473</v>
      </c>
      <c r="H24" s="141">
        <v>966384.72344927955</v>
      </c>
      <c r="DL24"/>
    </row>
    <row r="25" spans="7:116">
      <c r="G25" s="5" t="s">
        <v>275</v>
      </c>
      <c r="H25" s="141">
        <v>24025632756.823292</v>
      </c>
      <c r="DL25"/>
    </row>
    <row r="26" spans="7:116">
      <c r="DL26"/>
    </row>
    <row r="27" spans="7:116">
      <c r="DL27"/>
    </row>
    <row r="28" spans="7:116">
      <c r="DL28"/>
    </row>
    <row r="29" spans="7:116">
      <c r="DL29"/>
    </row>
    <row r="30" spans="7:116">
      <c r="DL30"/>
    </row>
    <row r="31" spans="7:116">
      <c r="DL31"/>
    </row>
    <row r="32" spans="7:116">
      <c r="DL32"/>
    </row>
    <row r="33" spans="116:116">
      <c r="DL33"/>
    </row>
    <row r="34" spans="116:116">
      <c r="DL34"/>
    </row>
    <row r="35" spans="116:116">
      <c r="DL35"/>
    </row>
    <row r="36" spans="116:116">
      <c r="DL36"/>
    </row>
    <row r="37" spans="116:116">
      <c r="DL37"/>
    </row>
    <row r="38" spans="116:116">
      <c r="DL38"/>
    </row>
    <row r="39" spans="116:116">
      <c r="DL39"/>
    </row>
    <row r="40" spans="116:116">
      <c r="DL40"/>
    </row>
    <row r="41" spans="116:116">
      <c r="DL41"/>
    </row>
    <row r="42" spans="116:116">
      <c r="DL42"/>
    </row>
    <row r="43" spans="116:116">
      <c r="DL43"/>
    </row>
    <row r="44" spans="116:116">
      <c r="DL44"/>
    </row>
    <row r="45" spans="116:116">
      <c r="DL45"/>
    </row>
    <row r="46" spans="116:116">
      <c r="DL46"/>
    </row>
    <row r="47" spans="116:116">
      <c r="DL47"/>
    </row>
    <row r="48" spans="116:116">
      <c r="DL48"/>
    </row>
    <row r="49" spans="116:116">
      <c r="DL49"/>
    </row>
    <row r="50" spans="116:116">
      <c r="DL50"/>
    </row>
    <row r="51" spans="116:116">
      <c r="DL51"/>
    </row>
    <row r="52" spans="116:116">
      <c r="DL52"/>
    </row>
    <row r="53" spans="116:116">
      <c r="DL53"/>
    </row>
    <row r="54" spans="116:116">
      <c r="DL54"/>
    </row>
    <row r="55" spans="116:116">
      <c r="DL55"/>
    </row>
    <row r="56" spans="116:116">
      <c r="DL56"/>
    </row>
    <row r="57" spans="116:116">
      <c r="DL57"/>
    </row>
    <row r="58" spans="116:116">
      <c r="DL58"/>
    </row>
    <row r="59" spans="116:116">
      <c r="DL59"/>
    </row>
    <row r="60" spans="116:116">
      <c r="DL60"/>
    </row>
    <row r="61" spans="116:116">
      <c r="DL61"/>
    </row>
    <row r="62" spans="116:116">
      <c r="DL62"/>
    </row>
    <row r="63" spans="116:116">
      <c r="DL63"/>
    </row>
    <row r="64" spans="116:116">
      <c r="DL64"/>
    </row>
    <row r="65" spans="116:116">
      <c r="DL65"/>
    </row>
    <row r="66" spans="116:116">
      <c r="DL66"/>
    </row>
    <row r="67" spans="116:116">
      <c r="DL67"/>
    </row>
    <row r="68" spans="116:116">
      <c r="DL68"/>
    </row>
    <row r="69" spans="116:116">
      <c r="DL69"/>
    </row>
    <row r="70" spans="116:116">
      <c r="DL70"/>
    </row>
    <row r="71" spans="116:116">
      <c r="DL71"/>
    </row>
    <row r="72" spans="116:116">
      <c r="DL72"/>
    </row>
    <row r="73" spans="116:116">
      <c r="DL73"/>
    </row>
    <row r="74" spans="116:116">
      <c r="DL74"/>
    </row>
    <row r="75" spans="116:116">
      <c r="DL75"/>
    </row>
    <row r="76" spans="116:116">
      <c r="DL76"/>
    </row>
    <row r="77" spans="116:116">
      <c r="DL77"/>
    </row>
    <row r="78" spans="116:116">
      <c r="DL78"/>
    </row>
    <row r="79" spans="116:116">
      <c r="DL79"/>
    </row>
    <row r="80" spans="116:116">
      <c r="DL80"/>
    </row>
    <row r="81" spans="116:116">
      <c r="DL81"/>
    </row>
    <row r="82" spans="116:116">
      <c r="DL82"/>
    </row>
    <row r="83" spans="116:116">
      <c r="DL83"/>
    </row>
    <row r="84" spans="116:116">
      <c r="DL84"/>
    </row>
    <row r="85" spans="116:116">
      <c r="DL85"/>
    </row>
    <row r="86" spans="116:116">
      <c r="DL86"/>
    </row>
    <row r="87" spans="116:116">
      <c r="DL87"/>
    </row>
    <row r="88" spans="116:116">
      <c r="DL88"/>
    </row>
    <row r="89" spans="116:116">
      <c r="DL89"/>
    </row>
    <row r="90" spans="116:116">
      <c r="DL90"/>
    </row>
    <row r="91" spans="116:116">
      <c r="DL91"/>
    </row>
    <row r="92" spans="116:116">
      <c r="DL92"/>
    </row>
    <row r="93" spans="116:116">
      <c r="DL93"/>
    </row>
    <row r="94" spans="116:116">
      <c r="DL94"/>
    </row>
    <row r="95" spans="116:116">
      <c r="DL95"/>
    </row>
    <row r="96" spans="116:116">
      <c r="DL96"/>
    </row>
    <row r="97" spans="116:116">
      <c r="DL97"/>
    </row>
    <row r="98" spans="116:116">
      <c r="DL98"/>
    </row>
    <row r="99" spans="116:116">
      <c r="DL99"/>
    </row>
    <row r="100" spans="116:116">
      <c r="DL100"/>
    </row>
    <row r="101" spans="116:116">
      <c r="DL101"/>
    </row>
    <row r="102" spans="116:116">
      <c r="DL102"/>
    </row>
    <row r="103" spans="116:116">
      <c r="DL103"/>
    </row>
    <row r="104" spans="116:116">
      <c r="DL104"/>
    </row>
    <row r="105" spans="116:116">
      <c r="DL105"/>
    </row>
    <row r="106" spans="116:116">
      <c r="DL106"/>
    </row>
    <row r="107" spans="116:116">
      <c r="DL107"/>
    </row>
    <row r="108" spans="116:116">
      <c r="DL108"/>
    </row>
    <row r="109" spans="116:116">
      <c r="DL109"/>
    </row>
    <row r="110" spans="116:116">
      <c r="DL110"/>
    </row>
    <row r="111" spans="116:116">
      <c r="DL111"/>
    </row>
    <row r="112" spans="116:116">
      <c r="DL112"/>
    </row>
    <row r="113" spans="116:116">
      <c r="DL113"/>
    </row>
    <row r="114" spans="116:116">
      <c r="DL114"/>
    </row>
    <row r="115" spans="116:116">
      <c r="DL115"/>
    </row>
    <row r="116" spans="116:116">
      <c r="DL116"/>
    </row>
    <row r="117" spans="116:116">
      <c r="DL117"/>
    </row>
    <row r="118" spans="116:116">
      <c r="DL118"/>
    </row>
    <row r="119" spans="116:116">
      <c r="DL119"/>
    </row>
    <row r="120" spans="116:116">
      <c r="DL120"/>
    </row>
    <row r="121" spans="116:116">
      <c r="DL121"/>
    </row>
    <row r="122" spans="116:116">
      <c r="DL122"/>
    </row>
    <row r="123" spans="116:116">
      <c r="DL123"/>
    </row>
    <row r="124" spans="116:116">
      <c r="DL124"/>
    </row>
    <row r="125" spans="116:116">
      <c r="DL125"/>
    </row>
    <row r="126" spans="116:116">
      <c r="DL126"/>
    </row>
    <row r="127" spans="116:116">
      <c r="DL127"/>
    </row>
    <row r="128" spans="116:116">
      <c r="DL128"/>
    </row>
    <row r="129" spans="116:116">
      <c r="DL129"/>
    </row>
    <row r="130" spans="116:116">
      <c r="DL130"/>
    </row>
    <row r="131" spans="116:116">
      <c r="DL131"/>
    </row>
    <row r="132" spans="116:116">
      <c r="DL132"/>
    </row>
    <row r="133" spans="116:116">
      <c r="DL133"/>
    </row>
    <row r="134" spans="116:116">
      <c r="DL134"/>
    </row>
    <row r="135" spans="116:116">
      <c r="DL135"/>
    </row>
    <row r="136" spans="116:116">
      <c r="DL136"/>
    </row>
    <row r="137" spans="116:116">
      <c r="DL137"/>
    </row>
    <row r="138" spans="116:116">
      <c r="DL138"/>
    </row>
    <row r="139" spans="116:116">
      <c r="DL139"/>
    </row>
    <row r="140" spans="116:116">
      <c r="DL140"/>
    </row>
    <row r="141" spans="116:116">
      <c r="DL141"/>
    </row>
    <row r="142" spans="116:116">
      <c r="DL142"/>
    </row>
    <row r="143" spans="116:116">
      <c r="DL143"/>
    </row>
    <row r="144" spans="116:116">
      <c r="DL144"/>
    </row>
    <row r="145" spans="116:116">
      <c r="DL145"/>
    </row>
    <row r="146" spans="116:116">
      <c r="DL146"/>
    </row>
    <row r="147" spans="116:116">
      <c r="DL147"/>
    </row>
    <row r="148" spans="116:116">
      <c r="DL148"/>
    </row>
    <row r="149" spans="116:116">
      <c r="DL149"/>
    </row>
    <row r="150" spans="116:116">
      <c r="DL150"/>
    </row>
    <row r="151" spans="116:116">
      <c r="DL151"/>
    </row>
    <row r="152" spans="116:116">
      <c r="DL152"/>
    </row>
    <row r="153" spans="116:116">
      <c r="DL153"/>
    </row>
    <row r="154" spans="116:116">
      <c r="DL154"/>
    </row>
    <row r="155" spans="116:116">
      <c r="DL155"/>
    </row>
    <row r="156" spans="116:116">
      <c r="DL156"/>
    </row>
    <row r="157" spans="116:116">
      <c r="DL157"/>
    </row>
    <row r="158" spans="116:116">
      <c r="DL158"/>
    </row>
    <row r="159" spans="116:116">
      <c r="DL159"/>
    </row>
    <row r="160" spans="116:116">
      <c r="DL160"/>
    </row>
    <row r="161" spans="116:116">
      <c r="DL161"/>
    </row>
    <row r="162" spans="116:116">
      <c r="DL162"/>
    </row>
    <row r="163" spans="116:116">
      <c r="DL163"/>
    </row>
    <row r="164" spans="116:116">
      <c r="DL164"/>
    </row>
    <row r="165" spans="116:116">
      <c r="DL165"/>
    </row>
    <row r="166" spans="116:116">
      <c r="DL166"/>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F4:J17"/>
  <sheetViews>
    <sheetView zoomScale="70" zoomScaleNormal="70" zoomScalePageLayoutView="84" workbookViewId="0">
      <selection activeCell="G44" sqref="G44"/>
    </sheetView>
  </sheetViews>
  <sheetFormatPr defaultColWidth="8.87890625" defaultRowHeight="14.35"/>
  <cols>
    <col min="1" max="1" width="18.703125" bestFit="1" customWidth="1"/>
    <col min="2" max="2" width="14.703125" bestFit="1" customWidth="1"/>
    <col min="3" max="3" width="18.41015625" bestFit="1" customWidth="1"/>
    <col min="4" max="4" width="25.41015625" bestFit="1" customWidth="1"/>
    <col min="5" max="5" width="14.703125" bestFit="1" customWidth="1"/>
    <col min="6" max="6" width="29.1171875" customWidth="1"/>
    <col min="7" max="7" width="25.87890625" bestFit="1" customWidth="1"/>
    <col min="8" max="8" width="19.703125" bestFit="1" customWidth="1"/>
    <col min="9" max="9" width="26" bestFit="1" customWidth="1"/>
    <col min="10" max="10" width="21.1171875" customWidth="1"/>
    <col min="11" max="11" width="21.1171875" bestFit="1" customWidth="1"/>
    <col min="12" max="12" width="21.703125" bestFit="1" customWidth="1"/>
    <col min="13" max="13" width="15" bestFit="1" customWidth="1"/>
  </cols>
  <sheetData>
    <row r="4" spans="6:10">
      <c r="F4" s="4" t="s">
        <v>4</v>
      </c>
      <c r="G4" s="254" t="s">
        <v>339</v>
      </c>
    </row>
    <row r="6" spans="6:10">
      <c r="F6" s="4" t="s">
        <v>276</v>
      </c>
      <c r="G6" s="4" t="s">
        <v>281</v>
      </c>
    </row>
    <row r="7" spans="6:10">
      <c r="F7" s="4" t="s">
        <v>274</v>
      </c>
      <c r="G7" s="254" t="s">
        <v>336</v>
      </c>
      <c r="H7" s="254" t="s">
        <v>464</v>
      </c>
      <c r="I7" s="255" t="s">
        <v>546</v>
      </c>
      <c r="J7" s="255" t="s">
        <v>275</v>
      </c>
    </row>
    <row r="8" spans="6:10">
      <c r="F8" s="21" t="s">
        <v>1733</v>
      </c>
      <c r="G8" s="8">
        <v>3033995379.5100002</v>
      </c>
      <c r="H8" s="8">
        <v>1003821045.8058792</v>
      </c>
      <c r="I8" s="8">
        <v>585498395.14210534</v>
      </c>
      <c r="J8" s="8">
        <v>4623314820.4579849</v>
      </c>
    </row>
    <row r="9" spans="6:10">
      <c r="F9" s="21" t="s">
        <v>1734</v>
      </c>
      <c r="G9" s="8">
        <v>1952257557.3645</v>
      </c>
      <c r="H9" s="8">
        <v>1886582624.8920777</v>
      </c>
      <c r="I9" s="8">
        <v>1377620000</v>
      </c>
      <c r="J9" s="8">
        <v>5216460182.2565775</v>
      </c>
    </row>
    <row r="10" spans="6:10">
      <c r="F10" s="21" t="s">
        <v>1735</v>
      </c>
      <c r="G10" s="8">
        <v>5622817465.4295502</v>
      </c>
      <c r="H10" s="8">
        <v>3061422938.3538847</v>
      </c>
      <c r="I10" s="8">
        <v>771281460.46675003</v>
      </c>
      <c r="J10" s="8">
        <v>9455521864.250185</v>
      </c>
    </row>
    <row r="11" spans="6:10">
      <c r="F11" s="21" t="s">
        <v>1736</v>
      </c>
      <c r="G11" s="8">
        <v>3903972341.5075331</v>
      </c>
      <c r="H11" s="8">
        <v>1768881645.9702928</v>
      </c>
      <c r="I11" s="8">
        <v>1889218095.5944798</v>
      </c>
      <c r="J11" s="8">
        <v>7562072083.0723057</v>
      </c>
    </row>
    <row r="12" spans="6:10">
      <c r="F12" s="21" t="s">
        <v>1737</v>
      </c>
      <c r="G12" s="8">
        <v>3419983242.1606603</v>
      </c>
      <c r="H12" s="8">
        <v>402852135.83130395</v>
      </c>
      <c r="I12" s="8">
        <v>2031575866.6666667</v>
      </c>
      <c r="J12" s="8">
        <v>5854411244.6586313</v>
      </c>
    </row>
    <row r="13" spans="6:10">
      <c r="F13" s="21" t="s">
        <v>1738</v>
      </c>
      <c r="G13" s="8">
        <v>10328187663.290464</v>
      </c>
      <c r="H13" s="8">
        <v>98910296.296398669</v>
      </c>
      <c r="I13" s="8">
        <v>3044371934.6210203</v>
      </c>
      <c r="J13" s="8">
        <v>13471469894.207882</v>
      </c>
    </row>
    <row r="14" spans="6:10">
      <c r="F14" s="21" t="s">
        <v>1739</v>
      </c>
      <c r="G14" s="8">
        <v>6601637370.2506018</v>
      </c>
      <c r="H14" s="8">
        <v>722943516.58962882</v>
      </c>
      <c r="I14" s="8">
        <v>6411884764.4958429</v>
      </c>
      <c r="J14" s="8">
        <v>13736465651.336075</v>
      </c>
    </row>
    <row r="15" spans="6:10">
      <c r="F15" s="21" t="s">
        <v>1740</v>
      </c>
      <c r="G15" s="8">
        <v>5607732494.1706123</v>
      </c>
      <c r="H15" s="8">
        <v>570811566.51847851</v>
      </c>
      <c r="I15" s="8">
        <v>1051988200</v>
      </c>
      <c r="J15" s="8">
        <v>7230532260.6890907</v>
      </c>
    </row>
    <row r="16" spans="6:10">
      <c r="F16" s="21" t="s">
        <v>1741</v>
      </c>
      <c r="G16" s="8">
        <v>4575988132.3372459</v>
      </c>
      <c r="H16" s="8">
        <v>605688422.90796423</v>
      </c>
      <c r="I16" s="8">
        <v>3941724572.6496</v>
      </c>
      <c r="J16" s="8">
        <v>9123401127.8948097</v>
      </c>
    </row>
    <row r="17" spans="6:10">
      <c r="F17" s="21" t="s">
        <v>275</v>
      </c>
      <c r="G17" s="8">
        <v>45046571646.021179</v>
      </c>
      <c r="H17" s="8">
        <v>10121914193.165909</v>
      </c>
      <c r="I17" s="8">
        <v>21105163289.636467</v>
      </c>
      <c r="J17" s="8">
        <v>76273649128.823532</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J1:K9"/>
  <sheetViews>
    <sheetView zoomScaleNormal="100" zoomScalePageLayoutView="55" workbookViewId="0">
      <selection activeCell="I10" sqref="I10"/>
    </sheetView>
  </sheetViews>
  <sheetFormatPr defaultColWidth="9.1171875" defaultRowHeight="14.35"/>
  <cols>
    <col min="1" max="9" width="9.1171875" customWidth="1"/>
    <col min="10" max="10" width="34.703125" bestFit="1" customWidth="1"/>
    <col min="11" max="11" width="22.87890625" bestFit="1" customWidth="1"/>
    <col min="12" max="12" width="14.29296875" customWidth="1"/>
    <col min="13" max="13" width="14.29296875" bestFit="1" customWidth="1"/>
    <col min="14" max="14" width="15.29296875" customWidth="1"/>
    <col min="15" max="15" width="14.29296875" customWidth="1"/>
    <col min="16" max="16" width="8.703125" customWidth="1"/>
    <col min="17" max="17" width="6" customWidth="1"/>
    <col min="18" max="18" width="15.703125" customWidth="1"/>
    <col min="19" max="19" width="25.41015625" bestFit="1" customWidth="1"/>
    <col min="20" max="20" width="8.703125" customWidth="1"/>
    <col min="21" max="21" width="6" customWidth="1"/>
    <col min="22" max="22" width="28.29296875" bestFit="1" customWidth="1"/>
    <col min="23" max="23" width="22.703125" bestFit="1" customWidth="1"/>
    <col min="24" max="24" width="8.703125" customWidth="1"/>
    <col min="25" max="25" width="7" customWidth="1"/>
    <col min="26" max="26" width="25.703125" bestFit="1" customWidth="1"/>
    <col min="27" max="27" width="7.703125" customWidth="1"/>
    <col min="28" max="28" width="8.703125" customWidth="1"/>
    <col min="29" max="29" width="6" customWidth="1"/>
    <col min="30" max="30" width="10.41015625" bestFit="1" customWidth="1"/>
    <col min="31" max="31" width="17.29296875" bestFit="1" customWidth="1"/>
    <col min="32" max="32" width="20.1171875" bestFit="1" customWidth="1"/>
    <col min="33" max="33" width="12.703125" bestFit="1" customWidth="1"/>
    <col min="34" max="34" width="8.703125" customWidth="1"/>
    <col min="35" max="35" width="6" customWidth="1"/>
    <col min="36" max="36" width="15.5859375" bestFit="1" customWidth="1"/>
    <col min="37" max="37" width="21.29296875" bestFit="1" customWidth="1"/>
    <col min="38" max="38" width="8.703125" customWidth="1"/>
    <col min="39" max="39" width="6" customWidth="1"/>
    <col min="40" max="40" width="24.1171875" bestFit="1" customWidth="1"/>
    <col min="41" max="41" width="34.1171875" bestFit="1" customWidth="1"/>
    <col min="42" max="42" width="36.87890625" bestFit="1" customWidth="1"/>
    <col min="43" max="43" width="18.41015625" bestFit="1" customWidth="1"/>
    <col min="44" max="44" width="21.29296875" bestFit="1" customWidth="1"/>
    <col min="45" max="45" width="26.29296875" bestFit="1" customWidth="1"/>
    <col min="46" max="46" width="29.1171875" bestFit="1" customWidth="1"/>
    <col min="47" max="47" width="21.703125" bestFit="1" customWidth="1"/>
    <col min="48" max="48" width="8.703125" customWidth="1"/>
    <col min="49" max="49" width="6" customWidth="1"/>
    <col min="50" max="50" width="24.41015625" bestFit="1" customWidth="1"/>
    <col min="51" max="51" width="10.703125" bestFit="1" customWidth="1"/>
  </cols>
  <sheetData>
    <row r="1" spans="10:11">
      <c r="J1" s="4" t="s">
        <v>4</v>
      </c>
      <c r="K1" s="254" t="s">
        <v>339</v>
      </c>
    </row>
    <row r="2" spans="10:11">
      <c r="J2" s="4" t="s">
        <v>282</v>
      </c>
      <c r="K2" s="254" t="s">
        <v>339</v>
      </c>
    </row>
    <row r="4" spans="10:11">
      <c r="J4" s="4" t="s">
        <v>274</v>
      </c>
      <c r="K4" t="s">
        <v>276</v>
      </c>
    </row>
    <row r="5" spans="10:11">
      <c r="J5" s="5" t="s">
        <v>284</v>
      </c>
      <c r="K5" s="7">
        <v>1.6113733837836163E-2</v>
      </c>
    </row>
    <row r="6" spans="10:11">
      <c r="J6" s="5" t="s">
        <v>40</v>
      </c>
      <c r="K6" s="7">
        <v>0.11013900854689314</v>
      </c>
    </row>
    <row r="7" spans="10:11">
      <c r="J7" s="5" t="s">
        <v>283</v>
      </c>
      <c r="K7" s="7">
        <v>0.83586561864310394</v>
      </c>
    </row>
    <row r="8" spans="10:11">
      <c r="J8" s="5" t="s">
        <v>632</v>
      </c>
      <c r="K8" s="7">
        <v>2.8855256960417321E-2</v>
      </c>
    </row>
    <row r="9" spans="10:11">
      <c r="J9" s="5" t="s">
        <v>244</v>
      </c>
      <c r="K9" s="7">
        <v>9.0263820117494845E-3</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V i s u a l i z a t i o n L S t a t e   x m l n s : x s i = " h t t p : / / w w w . w 3 . o r g / 2 0 0 1 / X M L S c h e m a - i n s t a n c e "   x m l n s : x s d = " h t t p : / / w w w . w 3 . o r g / 2 0 0 1 / X M L S c h e m a "   x m l n s = " h t t p : / / m i c r o s o f t . d a t a . v i s u a l i z a t i o n . C l i e n t . E x c e l . L S t a t e / 1 . 0 " > < c g > H 4 s I A A A A A A A E A O 1 d 2 W 4 b y R X 9 F U L A I M k D W 7 U v h i z D l s e O Y s s Z m J 5 B M m 8 t s k 1 1 R H V r m k 1 r r F / L Q z 4 p v 5 B T v X C R F U x N O R W g A A O G D c k i f c z D u 5 9 7 + e 9 / / u v k 2 a 8 3 q 8 m n o l m X d f X 0 i G b k a F J U 8 3 p R V s u n R 5 v 2 4 9 Q c P T s 9 e Y E v 3 + b t 2 7 o 6 y + d X x Q Q P q t Z P f l 2 X T 4 + u 2 v b 2 y f H x 3 d 1 d d s e z u l k e M 0 L o 8 d 8 u 3 s 7 w k z f 5 t K z W b V 7 N i 6 P t o x a / / a i j 0 5 P z d f + A 7 Q / f l P O m X t c f 2 2 y R t 3 n 2 q V x v 8 l V 5 n 7 e A n i 2 L m i + O H X 4 8 c n L 9 9 O j Z v N 5 U b f P 5 f b F 0 / 7 W L f J E v 8 / U 8 b / A D P + W r T T G 5 m j 8 9 a p t N g W + 8 L u r 3 x b p e b d x z r R 9 8 P V m 1 T 4 + m 1 G Z M M 2 4 F N Y R Z b S Q 7 m q z w k g m V K W s E Z 5 Y x r j g z F K 8 g H n C 2 / 8 / j n 3 h V N z d 5 2 x a L 5 4 t F U 6 z X p z t E J 8 d f / O X J 8 F O v y m K 1 A K B 1 2 4 C C C V 7 x J 1 W 5 G n B P j v + f f 3 E A u M d z e n L 8 A O f x w S u J v z / 4 G v + R 4 + 6 1 x 5 / n j / M 0 q z f t 1 X e M P P / Y l P M 8 k C t m M y I U N U J y q 6 0 A M z 1 X T G Z E M a O t V I x r b b k n V R 2 o S Q 8 p E b I O I U e j 6 1 3 d g q x y U V R t + b E s F g e E f c x X 6 y + t y 7 1 r f + t d c F H f 5 z e X 5 S + d c Q Z Z q 8 6 k l E Y J z g U l S g j Z v w O 4 z K y U C u 8 I S 5 m 0 W i n P t 8 A O U S J v g H 3 A 0 e h / U a + r M s c 7 I K 8 W + P 3 P R X N f L O t P Z R V o u U J k V E n O G a y W G g v 7 7 W m j O t O W M E H x S 0 h J t P G k r Q c 4 A b z J H r h E K P x v 4 K P R O W t K s P g 2 r 6 4 D + Q N N x l L O p T C a K 4 l 4 2 f N n S K Y M 0 U w S m B y c L 6 z R K 0 Y C 0 K S D k w h j e 3 i j k f T 9 8 v N t e + B n v Z M Y p j I t F S V c 0 p 4 E l 8 A g W B o F f 6 i J N J R I o a w n O R 2 Q R I g Z s E Y j 5 a x u C 5 j O 4 g / n n + q y c U E v I G o h Z l m j p e T S K m G V N E P a M p U I Z k x q o T i c H 9 J r f N / L f A C m + T w 5 q / N 1 m w h P B 4 i j s f U i r 5 a r f F G s r 8 K I Y j z T n F A i h F C C U j i 8 3 s 1 Z k n G i J H O p J z G M c N 9 a Y A c o E Z 7 2 A U e j 6 e L 7 d 8 9 h V H 0 F d 8 B U e G b 5 5 n O z / H z f P e v t 5 n J V z g + e 1 9 u T C p q B e i 7 h L m G x P f t a u J y T M S q l V l R T 4 5 u k 9 J h c l Z w I + / u A o 7 H / Q 3 5 d u t c k j C B E N c s 4 o 9 b l H U Z t T V T Z j E u t B e P E S g 0 L 9 f W l I 5 x E K N r B j U b Q i 7 p d 3 + W h q f 6 U s Y w a p S X j 1 C J j t B z m 0 u U j P D N U I P 8 X q N V 9 E 8 U R S y L s 7 O B G Y + f s K r g K 4 w q O j B M j U Y d R g d 7 W w A w S x 8 x q i Z q a I z 0 h H W N e e U i H J R F q B q z x e L k v 5 o d p x + P B 7 L E m p L D I O y y S d M a E e / 3 H y E N l x j m V y E i I J g a / + U a e M w d m 8 r 7 o Q 2 E q D D 0 A H Y 2 q 5 8 3 S 9 b W C P R z X G d G I Q I I p s K Y I R b P J e b i p E p m R A m 0 M 5 I / M W P g 5 z 4 R + i y g R q v b w R m P p 5 e Y y L w + S h M c N y q f v + G H T X B e f D 5 7 M O y X k a D p L C h u k n J q 9 e M Z F Z j n h 3 B r K k Z E I 1 4 z 2 8 p o 9 m E S Y H s F G o / m H q 3 J V 3 t 6 W V b E O 4 4 f S j F K m F H J B g i L N 0 j G q I R F B X 0 p o p I O d 7 / Q t 2 v Y Q J U L S A e J o T M 1 u 8 z I w a x c o o J F Z g C U U 1 R i l u f y v 8 5 g c G Q l B 2 x 4 9 f W Y M W i G + R t S B S Y S e A W s 0 Y l 4 3 R Y E 5 b F B v C t 5 N I R N E O B M G P q w r b r t s n W b G a g H 7 4 Z Y Y Z a n w 9 G 4 9 m E S Y G c F G o + Y i X + V 3 h 1 H M O / B M K a y D u a p W W Y I J i X Q 1 r e O G o 5 J C K x 7 T L 6 0 x C f V P M 3 o 0 i X A z g o 3 G z f M N n h p K g 8 C Z y B R T Z w m 5 g E B e g M Y D x l j j U A u Z g S T o H 6 L p y z G v 9 u 4 X b Q E l w t A e 3 m g k / e z m x a E M w Y C E N J A L U I 6 8 3 B o y h B 3 m 5 l k G M y t u K B I G b b W n c + v R J E L P C D Y a N 2 + g 2 v l U h 8 U d g e Q M L z 5 C C 1 c C E x C C 6 V Q X d w j i D k W X w s K v E Y y u f A f 5 P Z h E q B n B R q P m D P 2 7 R a D Z K I b w w l z U R 3 m j K V K A I V m z E F m g 4 Y o m h R s D w 7 P 5 T h R 7 N I l w M 4 K N x s 3 7 z X o d 6 t I U z 5 A 8 o 7 9 q G d o O u 9 a D a + G 5 X M A w t P G c v s K 3 2 O n B J E L N C D Y a N S + L 6 i Z v r s N c m l Q Z m g R a w X A E p r q o c n q 7 s W 5 8 Z K G S Q P M b x Y 7 h v i 5 t Q J M I O V u 0 0 d j p 8 o 1 Q y x G Y w i M V 4 H Y 3 g X D x h k K Z J A j D s J d I L p T y 7 b A O W B L h Z o s 2 G j f n 6 y Y v V m G G w 1 F r U o F p E Y R E y K i 3 E y P k 0 f B p + C 7 F y A / 9 A e + Z X g 8 m E W 5 G s N G o m d 0 V 0 H G G U Y N c Q K G 2 A T H Q W 2 o M X c f m G h R H L p + 2 0 K 5 I g k z a N 4 P u w S R C z Q g 2 G j X v 6 5 s c Q s s w b o R E n o b K k x o k B E R B s T K k 0 F B D g x k u 4 c 2 6 V M C 3 p z a g S Y S c L d p o 7 J y 3 + S p w a I D y B h p k i N Q Z x S T c C d K 7 Y M M y A e 8 G j Y K E 3 B X T I 1 + r 6 Z A k w s u A N R o r Z + g I Y I 8 l 0 G g o 6 k 5 N I B P B y I A x j F V H a g h m d x T j P I p m q D W I N p 4 t g R F O I u z s 4 E Y j 6 F 2 5 L J p Q f l y y b K W T q z K F D q c R Q / F p M H J 1 P R u X H r j x u N e k b U C S C D V b t N G Y G Z d w 3 t R N E W g / 0 J A g 2 j M B j a S 2 y A A E X F j v 2 p B f U 6 a x Q 7 V V + H t x 1 C + 0 d I g S 4 e k A c T S u o F d Z B c 5 0 p t i G g T a O I W M G R 5 x u M 4 O p p i 6 d c x m d w Z o U s / 4 d H I c m E X 6 6 V + 7 k O B o z L 5 r 8 v g w s d a Y U / U 0 I j C H U J 5 D s O z 1 B b z 9 T y a D B 4 p R q h B 7 u 5 m 2 + H Z w e T i L c j G C j k f O y v i k r b B h W X y 0 F x m I o w Q g H X R t D + 0 R 6 Y E o T 1 D 4 M A w U 0 q X + X G n y L L T V l 1 m P A o z H 4 Q 7 3 C W l d Y S Q Q j o g I 7 v I R w p d i u d Q 0 u U S l p C W / I h Q a d n g l E j y U R 2 x r B R m P m o v i 1 n A f O e 7 B a Y W E u q H 7 g 9 S j F X H u w J k r Q Y o D y 1 F q L P 9 y a m S c 3 P Z p E u B n B R u P m x 6 r E D j q c 3 h v s k y / q m 0 D 7 w e Q a / W t M f g x q 1 F 1 L Y c o y 5 u Y O G H R r Z A 6 Q 3 v v 2 s H t c k w F V I m w 9 B B 2 N t Q / 5 P 8 q v 2 Y b g J s P W u 1 Z Y H 0 N r T n R r z y 4 b R 4 g y b o C K f G J Y C v Q 0 q h 2 g R K j a B x y N p o u 6 W t b B Q h F c k k B G h 3 K J G k 1 g Q n R I + d z M D m 2 7 o U f n W 9 O O W B L h Z w c 3 G j u z f L N w + 8 3 P m z x Y K u L C E 6 S i b s M P t B C m h / C E x X U B 4 S 8 2 v w R 3 q 3 + e Z t R B m v S A E i H q E H I 8 s o q q W O a B 1 R O G d R y 7 Q 5 R i Y d Y 4 y e + Y Q y B s u T K X Y + 8 I V 0 G U d 3 S a 9 W h S o W h E G 4 2 d 8 y q 4 s Q o L w m I X / B t k P Y K N c h 5 t n Q K L Q G P F p Y E 8 w b X z v N p C H Z J E e B m w R m P l 9 a q + f G A y 4 a s Q 7 4 r 2 q m h c i R W o t 0 e N x b H s I N 0 V n r F R 4 X I O q C H R c H K 3 I T D K 7 Y 5 8 e F K 9 h y g R w g 8 Q R 6 N 9 t q o / F e H T Q a h R G D S p 0 N Y 7 K c q g f I Q H x f 4 6 E n s B a R 1 j W P r z J G k E k w h D O 7 j R 6 P m p L N o q D y y 0 q M o s e u j o w G 7 X z H H O C K 1 B S I e g s T P d p p E n N Q O Q R J j Z o o 1 G j O M + v / 7 q / p 8 w m c Y m H 4 b r 1 m 1 C b B W q 6 C V h L G V Q X x l I v 9 1 A y p O n H l e Z J 0 L U D m 4 0 p v 6 S 3 4 b e A c A c C t E G I 0 K N T u z e 1 R u M c N 2 k E I M o d 0 2 q 8 3 t e + U Y H J R F m B q z R a L m o m 3 o e 3 O i z T l A H v a N S o G F n N l O D C 2 2 c Y 7 K O 0 U a / B e Z p N w O c R M j Z o o 1 G T 7 f J D v f 2 x 3 l 9 c 1 M 0 8 z J f / S m s 3 f f t I E D E M e F 5 E + z b 3 O K q k z t 0 4 6 f d T p 4 U G a b r u B O F e M T 8 h x g O S C L G 0 0 O N Z j k / X j d Y Y Q 2 c q i M f Q G t B 4 h S s g q B r d 8 M Q 6 l W 3 Y w x V l 0 V W 3 a 0 f e 0 W c A U w i z G z R R i N n d 9 j y O 3 Y G 9 / b I 6 m R 4 1 X t W r + r w R T L X H I S u H 6 U t 5 G F o B 6 p B 9 D L V H M e D I Y u 1 X P 2 + P v u I J x H 2 d 3 C j 0 d + d L P n 6 p P 3 b J Z V q e f r w / E s 0 0 m Z F E 9 x y R 2 s d Z z O s x p 7 s e B L K t Z G Y U 1 f g k j O k z d j L 4 N 2 R I i 9 / 2 m N J x K B G s N G Y O c P 1 l L C k E G c z k L v j c p d C A j J s Y D p i p l 0 v l z t 9 h X H 9 C d 8 J s E O S C C s 9 1 G i c z D a X 0 1 l + l S M f g 6 N 7 5 B J 6 e H x 7 k 9 / n 1 1 f h Z / W Q 3 F D U a t j 3 R I z D V W 2 3 P + h I V z q D h h C 5 Z j + 5 7 J p V X t a 4 A 5 Q I 9 / u A o 7 0 D L v J 5 s a g f 9 n Q f p / 3 R Q 2 H Q b x K o B / s z 9 7 1 + s 3 O a F L 0 q l A V u b x r L u T j k 4 V l b v / r 7 + 7 9 O t q g S o e o h 6 G h 0 f b h y x 3 / 3 u v 1 h H v X b x O R 0 7 z W M W H K / L v B Z H F X g y o 6 k G e Y l Q m H 5 Q H O 3 3 j 4 q 2 3 G 7 C K M S n B T t 1 k T R d P S 0 r Q F N I k a 1 R R v N m l 4 h 7 o W e K X K f x o L Y h L w Q 4 u m 9 t Q P M I k E O 3 C H F Z 3 8 I N E y g 2 / C K T z 2 Y R L g Z w U a j Z j a v 2 y 9 U t 4 + H J a 9 z e 1 d 5 + c X T e d 8 9 w o w S A x b I C C D I Q b N l V H k g F 8 V 1 R R Q L O J a O H r K / l O D D g C Y R s n d w o 9 G 9 F Y v O 2 r w N v b u H Q Y v A x y O h I Y Y 6 A Z d 0 3 M Z c V y d Y 1 + n X 0 A Y M V x B 8 l W 2 D 6 r L H l A h Z D z B H Y + z n 8 u Y y v 7 w L b F 2 6 D 7 k i + H g B Q z g + 5 G r v V F X 3 G R E G V 8 1 x Q 6 x b h / T 0 n i O c R F j a w Y 1 G E D R A N U 5 Y h q 4 9 T p F 8 C G w 3 4 k w I b i J h g W G o v y C n y t w + H f a 1 K O I c 1 b 6 J / R Z P I h T t 4 f 2 f c H R 8 7 j 6 U 7 M H n 2 5 3 + B y S 9 1 d Y a b 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V i s u a l i z a t i o n   x m l n s : x s i = " h t t p : / / w w w . w 3 . o r g / 2 0 0 1 / X M L S c h e m a - i n s t a n c e "   x m l n s : x s d = " h t t p : / / w w w . w 3 . o r g / 2 0 0 1 / X M L S c h e m a "   x m l n s = " h t t p : / / m i c r o s o f t . d a t a . v i s u a l i z a t i o n . C l i e n t . E x c e l / 1 . 0 " > < T o u r s > < T o u r   N a m e = " T o u r   1 "   I d = " { 3 4 A 5 1 E 9 D - 2 4 1 6 - 4 5 9 8 - 8 0 E A - 7 3 0 8 3 3 B 1 C 6 7 5 } "   T o u r I d = " 2 3 7 c f 7 8 7 - 9 c f 4 - 4 a 9 f - b 8 0 6 - 9 7 f 7 f 2 6 8 e 4 7 e "   X m l V e r = " 6 "   M i n X m l V e r = " 3 " > < D e s c r i p t i o n > S o m e   d e s c r i p t i o n   f o r   t h e   t o u r   g o e s   h e r e < / D e s c r i p t i o n > < I m a g e > i V B O R w 0 K G g o A A A A N S U h E U g A A A N Q A A A B 1 C A Y A A A A 2 n s 9 T A A A A A X N S R 0 I A r s 4 c 6 Q A A A A R n Q U 1 B A A C x j w v 8 Y Q U A A A A J c E h Z c w A A A 2 A A A A N g A b T C 1 p 0 A A E o 6 S U R B V H h e 7 b 1 p k N z 3 e e f 3 d P f c 9 3 1 h c J / E D R A g Q Z A U K a + 0 i t 5 s J V I s b 2 X j S I 5 j Z 2 u d F 6 n s J u X Y V Q n L 7 + K k U q m 8 i F z r p C q V L W V t e T d b k h L J o i j e A E j c N w Y Y H H P f P f d M z 0 x f e T 5 P 9 3 / m P / / p 7 u m 5 w A E x X 7 I x f f 6 P 3 + / 3 3 M f P 9 7 e / + i g u C p 8 + a g u i E v D z T C Q c E R m a j k h s Y k A m J i c l M h e W u b k 5 m Z q e l r N n X 5 X h k V G 5 c e 2 G f P s 7 3 5 K 8 3 F z 7 j R v h c F h u 3 b o j p 0 6 d k E A g I M H B Q a m u r b X P x k Z H 9 I R + K S 8 v t 9 f h 8 J z k 5 u b Z c z A 5 O S F F h U X i 1 9 8 5 i M d j + r t R q a i s S r 6 T Q E i v J y 8 / T 8 + R I 6 H Q t J 2 n e c f O 5 K d L E R w a k u q a G o l G o z I + M a H n z Z G H L Y / E 7 w 9 I f X 2 d + H w + a W x s S H 5 7 M U I z M 3 L n 9 j 1 p b 2 + X N 9 9 6 Q w r y C 6 S q q l K G h 0 e k p e W h X t + Y f O f f + 7 Y e y 2 / f j 8 f j M j o y o u e K S E 1 t n b 0 X 0 X E Z G x u V k t J S + 7 y g o N D e B 0 M D / V J T V 5 9 8 l R o z o Z A U F C 7 8 Z j U Y C v k k H N f 7 L I o l 3 1 m K i f F x u 0 b G I x 2 m p q a k u L g 4 + W p 5 x G K x + b F J h d 7 p h c 9 8 u i r 1 E h e D l Z r + c r J G q v t 2 n 3 s t 8 P 3 Z e / 9 j / F v v n J a c L I 8 X H B 6 W y Y l J K S k p l o q K C i O W d A g G h 6 W 9 r V 2 O H T t i r 0 O 6 G M q U i P p 6 u q W h a Z u 9 B y C K w q I i e z 4 + N q Y T N W m L p q y s 3 I i v r L x C 4 j o Z A V 3 8 f i V E M D Q 4 Y J N d X Z M g U s A C 5 X v 6 Q d q J g z B 9 e o y 7 d + 9 J f k G B n q N U a q q r M 9 6 H G x D i m C 4 2 G E Z / 7 4 B e d 6 E x h A M H D 8 j j 1 s d S 3 1 A v l T o u 0 9 N T E o 1 E p F T v A U A s E X 1 d W V V t 5 3 U w q U T N w g X e B R d W B p a b t 8 B o H I z q m B Q X l y g z W M r I l s P U n M j g W E j y l R D S E d R w c M i u M x M x g a G B A S l X h j K n z L Y g P 3 / Z M W R u m e d 0 1 x 1 U Q p 9 T K v L F 4 t J Q E h f 9 I / 2 h 9 V n o b n j v e 0 6 F R 3 B u f c 4 T + N 1 / / 7 v v V V V V S E 5 O T v K t z M j J C U h f b 5 / s 3 L k z I 7 d h c T P Q O U o E I 8 q R a 1 Q q I E F m l M t X 1 9 X K 8 F B Q F 3 9 U 8 v L y k 9 + d t Q U Y 1 f c q l I C K i o r t + E w A f 5 m s W f 1 t j k 7 G k E o h O D 7 f c Y A U Q M r 4 9 L s s h L 7 e n v m F 6 i A S C Z s k A 1 G d r U m V v D u 2 b 8 + a m I B d k x J 7 v i 7 0 Y m U q L P h d O 3 f Y + 9 z j i D K c g f 4 + l X Y N k q 8 S z E G R E k B J a d m S c c 7 T h e h g U I m u u K Q k + U o J T I n X f W 3 B o U E j w P K K S l u U M B t H w s F g i p a R F j r M t n D i j F U 8 I K U L l z c P i J 5 r y E R M M M a r V 6 7 J o M 4 h Y + F X r e b 2 r b t 6 / i K 7 3 n T j C S M Z H R m 2 e e J 6 m Q / u x 7 n u I q W z 0 t y 4 F O t f T j 8 0 K V J Z E J d Q 1 C e l / p j M 6 M L 3 J T W o t Y B z u M E h J y N r P y 7 w j 4 2 N L 1 K t l k N u T q 4 S x W z y V X r A y Z 8 9 e 6 a c r l L 2 7 N 5 t 7 6 G u M d j K g 0 z t K i 4 p 1 Q E d V 6 L K 0 w W a P y + V I B r e 9 8 L h 1 i x k u L k b q F Z u 1 D c 0 J p 8 t I K w E 7 m C g v 9 + I A q J a D V j Q 5 W V l U l t T n X w n g a a m J h k a G j U m k S 3 m Z h P j W a 6 S z Q 2 3 d J p W 9 Q q p U a e E 6 h A l h A U m d K y Q 1 K h p m d C n 3 H 4 8 O C I l h Q X S t P h U 8 + D Y L P p 0 m J 2 d k 1 s 3 b 8 u 5 N 1 6 X 1 1 4 7 I w 3 1 9 c Y A X 3 / 9 r I 3 J x Y t f m G q c D l x n g R J W Q 2 O T r Q c Y o B c O L c d U b Y o m h 7 F E i b 8 i L / s x z R a o e o z L e i A S j o v / 1 b O n V T 2 Z T r 6 1 P K 4 o Z z p w Y H / y V X p A O B P j k 2 Z 3 d X Z 2 S U d H h x E B 6 l F E O a Q D i M q g o 4 i U c l C g k g n V Y z g Y N G k D 9 + a Y p h 6 q f Q V 3 R h I 4 c K t + A A 4 L 9 + N 3 D u C I c E Y W I A t j 7 9 4 9 8 3 b c e u L o 8 S O m G m e L G S W o / r 7 e + X l Q x X U J w 0 A C 8 v A C m 6 p E x 5 D 7 L V U C d 9 + v G / e f B e 3 v w e 3 l U p X Q r h c B y T S u m s S U 2 q 9 e O 9 U N N J S 6 u j o 7 L 9 o H 1 w r s / C r Z z p 1 7 T Z 4 + f W b v Z Q L z l 1 D 1 0 9 u D 9 Y U x K X R p h w 6 h r R V D E 4 m / 0 d Q a 7 6 q R k + u T w H / y + / / k v d D 0 j O r k S 0 f Z p / a G 9 y 5 K S 0 u M S O B S v b 2 9 O v F x k 0 a o b p g 3 c X 3 N 4 F 6 9 e t 1 U o c m J K a m t r b H P 7 9 + 9 K 3 v 3 7 b O F A Q d n 8 t G r Z 1 Q V Z D E x o d h L Y E T V C Z w Y q H y o b t g M w N G / I S p U k 6 7 O D h k f H 7 P v h H V R u N U N 1 C l U I m c h T u i 5 M P o v f H 5 R T p 4 6 o S r Z g r q 1 n s B J c + f 2 X Z V W j T Y W 6 Y A t h P q E L Y o + V p 6 8 9 1 g k a s y F n 2 L v D a o 0 L a 9 M S C M v u n t 6 T N 0 q K V O b S h e 7 Y 7 P N z q p 6 r N I m r F M 4 o B y 4 U K V 6 O p u J c + E U Q i V j n j K B s Z w N z 9 q x c c o 4 8 + 2 A 9 9 u f d c i 2 b U 3 J d 5 b C s d G Y S 7 c z K h 0 m w 0 q s q q a F 1 P 4 L r 4 d X Q s e 6 R G 8 T V j C 1 T q q e A 9 8 H v / l V / M b 1 m / K 6 c p Z s M K a L s q O j S w 4 f P m S L F 2 I a G R 2 V O z q p e M z g / L W 1 1 U p 4 Z b J 7 z 6 7 k r 1 B L J m Q o O C z b m 7 f Z o I O Z m Z A t 8 l p V Y 9 y A O 2 O L o B Z m A t + 7 r Q u X + Y y E o 2 a j o S a d f v W U L q 4 F W 2 V k O G g T 6 A D v F E 6 J X b t 3 S b 1 y 2 4 0 A D A J 1 u r y i X A K 6 C L 3 E i 3 R F q j o M A B W 0 S J k H h F B V X b N o k a Z D / 8 C A / R 6 n C m p W T 0 + v q Y 8 Q c q k y m O H p u K q f I 1 L f W C u V + Q v q E s y s X 5 l h g U q H g N o z S L Z s w d j N h c P m e P E C R w x 2 7 Y D a u K j x F S m k P 8 y Y z 7 K F 4 6 i o y Y + Z 8 2 A 8 u n b 1 L K C i q V b 5 8 3 q p e m 4 E 3 n 3 3 n f d 6 e / t V N 6 / N i m N j 3 3 R 3 d R s H Y t L h W C y E 3 b o 4 d 6 h E 2 q k P V I J 8 1 d P d 7 n S I C F X v u h J v s U 4 k E w / R Q Q A 4 G 9 z 2 Q k g n B u k D J 8 M l P q y E 6 D W 4 m Z h 7 9 + 7 L w U M H p F m J l E X E + e v q 6 + S i S q C K y g r 7 7 R d f X F Y J N i H X r t 4 w o u Z 7 S I U d O 7 b L g w c P 7 b c b A b g v N i T q z + P W p 2 o z 1 M m Y S t I 7 d + 6 J X 2 L m 5 X S r c N w v Y 4 C U c N 5 H n e K a l e / p + C 2 1 c 1 v 0 + l F b m Q c Y S J V K s e q a K n n 2 p M 3 G I S c e l v q a M i l c 7 A d R z W B A i a z R p P d K p D S E e P v 2 H b O J U x E 8 0 g Y m h 4 3 U p W u k W g n d j c 6 O d q l y M b b l g J d v P J w Y i 9 m o T y o L 4 y a t 1 o q Y j u e U H m 8 j E P i j P / r D 9 w 7 p o p y c n D I 1 D p 0 W o n G r T m 7 A 5 4 K D Q + Y e T j W o L A Y e 3 t g U 7 x G z Y M B Z O B B h c B i X e K k e b 2 C e S + I y R 7 3 j + x A R H i E W 2 c j w k I y q p A n N z E l A F 8 8 1 V S l P n z 6 1 h N t x 3 b V 1 a q B P T s p 9 J b j j J 4 4 r o W 2 X / Q f 2 q V p Y o u r R H T 2 3 E v R c W J q 3 N 9 v C 3 y i w o B p 0 n H b t 3 m n q a E 5 O r u z a t V O v / e Y i 6 e 2 A 8 Y S J M D 7 E u t q e t u t 8 F O u 8 3 J L u 7 h 4 l g v p F 8 1 K o T I u 4 I G P p g G M 8 a H l k k p G 5 R H u w U I e O B 5 / Z e O m 0 Z Z I S z B H E 4 5 3 f S Z 0 b 4 o M l S v z p g A 2 G c 2 l 0 Z F S J Z 7 E t R h h g O U + k G 5 z e I a C y H F 0 3 e u s T U 3 p d g a X r L l v k c G / r 4 C l M B 9 + n n / x 2 X h d o a 2 s 3 I / 3 h w 0 d y 9 O j h J Q P H I L O Q j 5 8 4 t i K x 7 U Z E V U T c w W M q N W I q s e 7 c v q + L r F l 2 K t e D y / Z 2 d x n 3 T k W s 4 X B E L l + + Y s S G H v z G + X P J T 7 J H q o X y v I F K N D g w q G r z K + Y M Q H o 7 1 w T x h F V 9 R f J i r z o g 7 n X 3 z l 1 V j + v U 1 h x X D W G b H W P 7 9 m 2 L 4 l q A e 0 S y P d P 5 3 K c S D I m B d j A c H J F e t b m O H j u a c v 7 s H K o K s w a 6 u 3 v V 3 t 2 t j D F P a m q q T S N o b X 0 s O 5 U h l G R B F E N D Q 2 b / F r u I H X i D + M v B C b i W K 0 E V 6 c + Q W h s R m 1 o v J A k K m l p Y Z H i d f v 2 r 9 8 3 G 2 L l r h y 7 8 m M V 5 x s c n d S J R F V I E M F Y J 8 y 7 p 5 K O S 7 d c J 3 K W E h f 3 h 5 r o O B n W S m G w 4 K A S 1 n t f x v D E y M i L 3 7 j 6 w v 2 R X E J 8 j C 4 O / 5 8 6 / v m Q h O m D R Q 3 y o r a h r K 2 V s s 0 o Y e F y 3 N T X N j z H j 3 a M S s L 2 9 U 7 7 x z l s m t b G N e W C j 4 n j I y 8 + V I 8 p k c 5 J x v F R w g u Y A W / r m j V t 6 f b m y d / 9 e Y w 6 E S 9 Z K U G C 9 s h o 2 A r 6 P P n o / P q L i m Y m B 8 6 B C P H r Y K k e O J L g n h j X Z B E z i l 1 9 c k T O v n Z F y f Z 0 N f L E 5 F a / Z D d 5 v 3 v + t v P W N 8 1 K o e j 2 u 8 g q 1 B 0 w S u Y B D h E n 2 q h I v K h x J c v n L q 6 a m s m B x Y G y 0 B J 1 W Y i T b B S k y o X 9 R h 4 m p e d V 8 x p s 5 w M G R D U i p c j y V A M a H R g L x w y j C + q h v a D C T A k a y 3 D y O T q s 9 r R Y n w I U + G P K Z / b O Z E T h 0 8 O B 7 O T q Q 6 O P E i y Z U F S P O B P d 3 A r 6 P H z 0 2 L s Z k 7 / H o / g 7 R M f h w T P e k 2 K 0 n O d Z y 6 O 3 p M 8 c G i w k d H F v K M Z h j y v k S H P y u 7 N u 3 d 8 M X 3 P M C 9 g 1 O C z y s q N v k E m 6 k T e e A c 2 D P 1 t b W m l M m k e 2 w d J 6 Q T t h 8 2 Y w 3 z M G d l w j 4 H e u B t C T W C U F c b G X e 5 x r w d L J u I N h U 5 8 h V Y e i 4 t c v y l P k k H R S b G Y H / / r / 7 8 / f g F B A Q s Z w H 9 1 v M U 9 f X 1 y 8 P 7 r U o l 4 n K s e N H b S A 6 2 j u k Q 4 m O C U B S 4 M h 4 2 P J Q e n v 7 d O B 3 y M W L X 6 p a O G 6 G u C F L Y k L F 7 F G d f f u O Z h t Y E l y R U M 7 z 8 d E x n Y A c 8 1 z 1 q 9 1 Q q N f q u N 4 3 C q 9 c + y 9 l s u K I R H L X P / A L 4 N 4 t a q u e P J l I H i Y h l 9 g d 4 1 d e v j R F 6 X k D T Q W b F q a K z Y v D C q d O K q 8 g 9 h n u 9 0 x A K n V 2 d B o R 4 z A i I R l X P + l L 2 7 c 3 J 7 + l q q K + Z 7 m c O s d u W 2 l 4 P C 6 B 3 M 3 P S B c 5 J W 7 d u q 1 6 d b E F + q q r q 5 R j L n j y m O g B X c y 4 m 0 G v E h z f I X 2 H w f f r 9 + A 0 v / r l r + U 7 3 / 3 2 s g P s 4 N G j V v P q l Z Q U m X 3 k Y F j V k U B O w I j c M s m n p 8 w w 7 u 0 j 9 p K j R F u X t S q y G Q F B P V L J j 4 f V A e / B X G 7 e u C n n z 7 + R f P e r A R K l s 6 v L 8 h P v 3 3 t g F Q Y 4 J X C G k B j t A J v O 7 V T J B F z p r C M Y y P 7 9 + y Q c C e u x W 6 w i w Q G x y W k l u N l C Z c q u Q 1 b m x m T k B Z B Q 8 w T F Y r 1 4 4 Z K 8 + 8 1 3 7 A M v r l 6 5 L q + e O Z V y 4 D g A 6 h j B X j K x Q X U W d k 7 / t E / u 3 W m R V 4 6 9 k j a K H w w O K e E m A r x T O t D E a 1 A v i G e 9 + u o p 8 / q g W 8 f n 4 l K i G g c R 8 K 8 K e l k 6 P s k X K T C k 9 / L k 8 T M L e O I c q K y s W M S d H e B 8 C U 0 n Y m W r x U r s 1 2 w A g c 0 q s b e o Z D l 9 + u T 8 O h j R e y L x 1 + t p z A Y Q a K k x 0 g r z C B L M r 9 R 1 k y r 7 u 0 I J a n x O b a g s C P e r R O C t t 9 5 8 r + V B i / T 1 9 y t 3 m N V J b D Y O 4 g Y i 2 h / w S 0 V F a v W H W 8 R R M a Y G 9 v V r N 6 R f p V d p 4 x 4 L y o 2 H V P / V R c 7 C Z y y 6 x 5 Q w Y n 6 L L 8 T 1 l 7 V V 1 R I b J d 6 S y F Q G Z A s w Y R a L c n m 7 U D P 5 D v Z c / 6 B y u s p G 0 7 E 5 j g Q S E f W x i b i U Z S g X g v j 7 p v 0 S C o t l N a 8 V e J y 4 F 3 v o t c w / 1 4 c 3 q / m m q k 1 v v P G 6 1 V B B T O m M c j x 8 H e 2 d Z l O t F j m R a Y k F 1 s 5 d i D 3 d v X v f a r 7 K K 8 o s H t b Y 1 G j 2 N G D e m K / V h F H u 6 X G P H D 0 y b z d i S o C B m a W S q C g n L t O 6 b j Y 7 f O + / / 8 v 4 i d v / j f z v M z + Q M 2 d e l R v X b 8 g h l T S R c M Q 4 C C U V x E R q 6 + p M r X N Q 3 f + h B O u / q c 8 S 7 + E p R J c m E I v B O x J d y r H w 1 H h j C A W + u E X A H Z D Q i m u V I C h q 3 8 4 9 e 5 K f J G C Z 2 T n 5 E p x N P b j F / p i U p W G W M R U h o 0 r g s x K Q P C W t 6 q L F C 3 4 l c A g T p J O u b i B V H 7 W 2 y s E D C y p e J l A e c U b V r K 8 S a C 3 t a j e T g Y J q z 1 1 H I t F 5 + w 7 v H b a O T 9 c F h Z P Y S d k C p g i j 9 q Z + p Y s z R S N q Q + U s r L / N i s D u X b v e u z x z S I 4 f P 2 p G a N O 2 J p M C 5 G s 1 N T a a r g t n x R v k 9 g R F c 0 r 0 s a B L Q 0 y f f f K 5 p S R N 5 y 7 O 8 y r 2 x a R G F y / 0 C O c G 4 0 q A B Y U F U u t Z 1 K T Y m A q h x i + O C d Q A n j N p Y H J y W s Y l v Q i q K k i c x w G x k Y n J C b l x 4 5 b c e z I k k 7 F S K S / N l / r i 1 R M T 4 B T c S 1 1 B z O p p 0 g F C m p y a M u l P K l S 6 + J I b 5 M u R 5 V B i C c s Z D r 5 B w K U d H A 5 a m h Q 2 H k 6 g B B Y X b n J l z I s z N 3 j t W D u Z P J U 4 s v j O z R u 3 z a v r a C U A l T l d 0 J a a q x c B v r / 5 / z 6 M k 4 T f f v + q e X Q I w I 2 o e B / W h b x f u e m + f X v M 6 R A c C h q x u A f A C 1 M N f X 4 Z E w r U k m 8 m k U N C Y q l I + 7 B I X o F f D f C 4 b C t J L O r u z k 5 L b E U K 8 k N 3 L M M B y a O V V T U y F F 4 6 W U x E U / F S K U G M p 6 u r x + w U D G n U s 5 6 + K R n o 7 Z E 3 T + 2 W s q L U k 5 c t B l U 1 Y Z 6 r 8 1 N L q I G B A X n w 4 J G c P H X c K o k Z u 2 w d K f z 2 4 c N W W 8 C N j f X G 6 M j u 3 g g Q W L 9 9 8 4 5 5 W Y u K C 6 3 s Z i E 8 k n 4 h E 8 p I H V y P C 8 k A 3 j o 7 0 q k 6 O 7 u N k C g k p b j T j U w B 2 6 q 8 m A y n q a q d m 4 0 p s 1 r b X K 4 X 5 n t K l E T H L d + s S n V 7 w G L E 4 1 R b U y O z v f d l I r f e 1 J B 3 f + c d i y s 4 g A M 7 4 h 5 O l W 5 Q 8 l S 1 w 8 b x I q C D X 6 d S i j o l b C Q r l J s Y V x t j w b 7 A + 8 X C m k j a J m 7 k 6 W e 5 e Y m y a W 8 F K g u F a 6 J O B z j X F o n E p L f l i q m 4 b o 6 7 3 u C 6 K b h 7 6 6 3 z y X d W B + J w h B V G R 0 c t L p Q p l 2 4 1 4 B r f O P + 6 E Q H O h 1 S u 8 V T I 5 O F j T Z B z 6 f 7 s m t r X J 0 8 e T 8 m U M x E T Q K 0 e C f l k J s U a 2 k y Y v 4 t o o F i e P X m W q L b U C Y S T o s J B M P m 1 e y y f C y 5 P q c f o 2 L j 1 i 2 D B X r 1 6 T Q b 1 + b 1 7 D + T y v e 7 k 0 Z Y i F T G B q H J A B h P b i c n B f q q o q L S q U Q o L O 9 v a r G 6 I 2 q n Z 0 T 6 J K D d y Y 0 4 J g k L c V O X c X j T o p O A t q l d N 9 c S J E + a Z Z A F N T 4 d M L c M A R 9 1 a L 0 C s q T n 4 y o D U R + V + 5 Z V D 1 v i G O V l P H D 1 2 R F o f P b a F n i 0 x A V Q 7 C I Y x 9 A I G C 1 E 5 B Y h U H D d u a 5 b Q 3 F J p 3 j u W f L I M s L V r V c W e C y 1 v s 3 5 V C P z u f / y j 9 3 g S U d o q r W 2 S e 9 e v y b b m R r l / / 6 H M q t 6 P u h S J U T 6 g h q j S h K P 3 F h T k q 6 E Y V d V g t 6 m J N b W 1 E i h Z q q p l i 4 j a Y 2 M D v f L 0 a Z t l J R c m I / m U w l P q j R q I C l F R l L s k 9 R 5 X q t e j B n B N M + E J g z q h v J C x H F A 2 g q 0 G g y A T G 0 n C g 3 s k 7 Q r m k U m 1 d U A K D 1 n V e C J Z 5 M 7 D z Z W n p q d M Q m Z z v O V g B K p 2 J x 6 2 T H b K S o C a 3 t 7 W o b b y 3 j V c I 2 O / Y E s 5 4 H i J A k R 9 r m N L l W 5 + o d r e M b W z k n H r A W W m 8 W W y x 3 E 0 5 S e / j 4 p d o a b l j D L R W A Z 1 9 K v C v M r n I D Q T k Y 4 7 X 6 j e X q O P R r n y 5 V V 5 9 5 v f 0 I G f U j 3 7 t p x 9 / Y z L S F 1 A c M Y n c 0 p 4 a w X 2 X H V B 1 F J S S B a 1 U g x 9 f l x V B Y 5 O v C O d e u C o j w 7 c K h + S h + w P M j q c R i 2 p g O f q w u e X 5 F v f / p 3 k O w v g M 4 K x A a V I s q 7 7 + w a k q a l B m U + L q s F 5 u s j z J D Q 7 I 8 P j E a k u y 7 E c u V t q f N N / w b v Y V g s I / 8 r l q + L T a + C + K I e g v s x R X X E 9 Q 3 Q k o n q B t K B s x Q h A / 4 c h I J n O v v Z q y u 8 v B 6 4 F 2 5 f q a Z 5 z f H q O e I G t 9 f d / / x u z k f e c T A S s c 1 W 9 D M P Z l k F D o Z K N 6 9 I G p n 2 m 1 W x W + H 7 7 4 Q f x o d n U n O n p j Q t S V l 5 m t U 3 B o W G L N 7 z 1 j b f M G + i A g R w e G Z G 5 g u y q T L O B 4 4 b G 0 w h H w k N 2 W R f R O + + 8 Z c R A L M u f u 3 Q y f N G w 9 D 6 + a y r c i Z P H 7 N q 4 J t z 9 e C q p i 8 I W Q Z 0 l C J 0 O l y 5 9 a f E i N 7 D v 7 t 6 5 J z V 1 N e b 9 p G g R A p t P s 1 I 4 h M 7 1 o w b 1 9 w + Y J K l T p r C e I P O f c S A t D O d O Y j E D k m 2 n p F s N / z 1 7 d w n N b F A X + Z y w B n m D t C N g m g h v k O n i j v O l A n Y S 9 + D U q T l 2 E + 0 K n C Y x D j i P 2 y Y l E I y W 0 K Z a R 1 H D f u k P h m T P r u w L D N 2 O C L V C p L E k N h + q 2 K y Y z 5 S Y V T X Y 6 0 X p 7 V K O X q t 2 j X K 1 I 7 H r 0 l X 5 T Y t N 0 X a M B F Z S h T 7 + 6 F M 5 f u K o x S w C l U s j + 4 j 8 q v y 4 F C Q Z V / d E g u j 8 G c R 8 f K z b D G S n m h Y O x / G x 0 0 j c J S V p Y K Z A C W O x + / z B j Z v y z r k j F o R G a j Q 3 U 1 X s N z W O r A q H 4 P / f X / z S S i Z Q S V I 5 J c h N Z D G W W T 2 S z 9 T C + 3 c f q H T M N 0 L M z c t V N T J h a + S H u m W 2 M H G d e q v G A H A N k x N Z q e P k d Q 2 v B Y 6 t w v G 4 F x i c u 1 W Z A z x o M C E q q / t 6 + 6 2 E g h 4 a 2 d p z j D X g + F R V A y S 8 0 9 R y T u 1 c 6 q T S 4 c m T p x Z n c n J E C W T 3 h V Y + B m G 1 l Q L 5 F K w m 3 3 g B 4 P v 4 4 9 / O F z C S P T D q y p f y R W J S 7 J t U L j M r g w N D M q a S a J f a T C R J h k I z l g r U 9 q z N s q V n 4 4 X G J W m k S N P M u P 5 T o r p v O m d B K g I G l T l q y E b n 7 P h k X V B d S 5 3 O q d M n d I G Q Q L v N F v S u X b t S c i t H u r G o y G C H i 8 P N 3 U 1 D I B D s B m z E 0 2 d O z d t Y D l h Q z 5 S b k x 3 Q p E S J G l N Z W S k P H j w w C U d W w J t v n 1 8 S U 0 I i D e i D O M 7 b K s n X S 2 I D H D M 4 a 9 y g w y 4 d j 5 a D 1 6 7 L B C c b Z Q H M a u K 3 X j c 5 v h H v Y e m Z 2 K M M i d L 8 G S X I K l q F 6 Z e W 8 + K l Q 6 p z b G a Y D e V X U V 2 f 9 M S O h J Q T x n 0 S 0 U F 0 C A I p 9 P q 5 s x L 2 F V p / g q E 0 8 Q A Q m 4 t J Y 3 m C U 6 8 V F y 5 c l D f f P G + G M 4 u V 6 l M 3 I C i m 2 4 1 s s h Y c o I 7 Q z 4 8 k 4 F S A y 1 6 5 f M 3 K y S G e U b X l D h 7 c L 6 2 P n 8 q s E v y 5 N 1 5 L X J v a Z n S N 6 u n p l 7 N n T y d / v X 6 g 3 R Y N V V L Z O X h H r e N T U j V b K 6 z N W y R q t h i Z 3 3 S O w s N K P 0 B s J K 6 B R e 4 0 O H E z M F K J S K Z t V L v S u V b m Z 7 V q W r 7 E r O V Z 3 5 T O 8 w t C V O b l i y s L o J e 5 a l m W L 6 V z Y y o Z r u 7 O 1 h Y 5 c G i / l B L w m / X L p C e f S m n R g q p 4 2 X i Q 9 r O e H K X 1 0 R M p L C o w P X x 7 M l k U C Y I e T 1 z K C y R f n j L Y b A i a O j C 8 i h R Q p l q M c G v S l V B 3 s D d Q H U v V p k Q V h Q N T z 4 Q U 2 6 m 2 G Q 6 J n X p 9 6 y m V H H B t 6 Z w G L H h H A q 3 l 3 D T J 5 P d I X / 6 i C i O p s N e Q U J a t o v 8 N j 0 3 J W C w h p X z R R D u u 4 J Q u + j 6 V S r t 3 6 P h U m M 0 K 0 Q 2 E f G u q Y W I d s p 5 K 8 t a n O c v z w L z b H M 9 J d b K r j N u + y S 2 p k j q 9 q 7 y 5 I c k v K l 5 y Y y z c 6 Z m 4 F G c R v k j V 5 y 8 T a O 1 L 3 Q w E R G U p 2 R u 0 g a Z 9 F h n o M / G l 3 r q I q p w k 4 2 Z 7 G h J Q K U u Z D k 2 b 3 e Q s X O w V P H o Q U k 1 t t X F r u C 3 X g g v 4 0 a N H d m 1 0 T 6 U s 3 F m I G w W I B q Q 6 B + / x 6 O n u s r o 1 J A m g 9 7 j T z x D A I N w 2 I 8 f E S 8 e 9 k s X v q H r Y T h A x T g Y + s 8 Y q n F / P 4 R A T I F g / F v F L V N / P L S 6 T U C x H 1 b z E W p i N q m R d Y 8 u v a D g u 5 W o m c z c v C k E t u m O 4 u x f E a 9 q D u p D y 6 6 w k O Y B I c o G b 9 b y V F p W D n 0 t x + y + T r 5 Y H t g s 5 b Y c P H 1 Y D v 9 I m n J 5 7 c 2 r 7 B M O p j W J / n k 8 G k p 1 B s w X 2 F S 7 o y 1 9 e M d U J I A H p n 0 F 3 V O y A H T t 2 y H d 2 h a x 0 g f b L Z 8 + e s Y x x p J S z 2 N c T X E d o J j R P H A 7 R o I Y C A q U j I 8 O W L O x c c 9 O 2 5 o R D g b W v / 9 W 4 E k + p M 6 J E 3 Q 2 8 c N S / 4 f Z 2 Q C 2 c 8 5 r x N h V Q J R F O B a / q N p e i g B T t A B Q o r y v N y X J h p E F D s r i h a + T F I C a w E I f i 3 j M w l O J A T K a U 4 5 B G b 0 E 1 n V z A Y q p W k Z y / d v U 9 J W j 9 z C J 2 G 8 o s o N 7 R W e O K q W B u a 1 V V 6 O d H h S 8 R e 6 q O M z U Y A X D k x 6 1 P r E 1 V Q 0 O D S R 2 y K c 6 c O W 2 c m k Y y j U 3 1 R l x g V h d p a J a m I z l q Y y 0 k C q 8 V L O r l O r h 6 n Q f u z G 8 H O G R w j w P m i X t w V F v H 9 q K a A I n r A M L z l r K D b J w K U b W f m 8 r j p v I x b 2 R g j M Y y u + U z w b H P V u v Q + C r g 5 6 I J n m U i J l C q R M N 3 p y O L i 7 x m Q 3 E Z X u d K S l y + q H i k A 9 X U V F l O o R s s i q b q 9 A t 4 f G J c P v / 0 o r l t a T Z z 5 M h h S 5 X 6 7 N M L M j S U 6 P G d C q h D z T u a T c 3 D o 4 W a h x M C K U Q T m e M n j 1 k 8 B 2 B X z c y F 7 T c c e z 2 B P c b i z w Q 3 M Q G c C B A T U s 0 B C c 0 A 7 y y f M W 4 0 u S R o D j E B Y n 1 u Q E y O x A O 0 y o Z 4 m X t C I A B V L x U C e X 5 5 0 D U h 9 9 p H r c K X B A B K d l Y D h 5 h e N A T + w f d + 9 F 5 5 A b b T M k S h Y 4 h m M + P J h q B B u o E x V g 6 f k 7 S / U B / T 7 T k 1 p y r E x P i Y x Y u I + b A Y q P Q l + N r T 0 2 M L F G m B e 5 x M A w K x 9 F l w A y 6 I E 2 R K 7 T e v B y I i O b J n e 9 1 8 2 Q e L j 4 5 O 9 M q g v u f J Y z q 5 1 i + y J w D x E 9 K e y s w O E Z N W X N f Q 4 J C c O / + a H a + n p 8 8 W X N u z d q u q R U 3 E w 0 d M z t K z 1 g F c M 1 6 z b N s I M C 9 4 3 R g P 1 G S S a T l G c X G h f U b M E O B 6 Z 3 c T d z C X c X Z f N / f m S D E a 9 h D Y d 8 a p S L 8 W U h u p V n k Z 5 2 J + Z z x p Y D i Q C v W 8 f A 7 0 M r K 2 f / B / B J R Y 6 5 O l P i C s t t j 0 B n V 5 3 Q g s S T 1 a K 2 r y o j q p C 3 G H A p 3 c y q Q w c d 4 L R O Y k N N J t E 0 0 5 O J k W / E V l + U w l y 9 F j h y 0 Y C F B V U B / g e C y S V I B x T s 7 5 T B 1 V k 2 9 Z k A T b 2 d G l 0 u f A / G J B C t 5 F v X M V 9 X F u 7 z n p g Q H B O T Y d 9 c K k 8 1 C S / + a b q + s D Y d 5 E X d g s Z m e x I x n Y n C 5 b 4 K F l H M h V d H D y w j + W O 6 / / H x K c m L P a M u d + x l X i l i V 7 k 7 t 7 6 Q E 6 z J L N j n 2 V K V E 2 k x o W V 4 b Z W L J A F K n C G 1 7 g r 2 o q W S q V X i R 1 D 6 z 7 1 Q 7 N B R Y N w o x O F q / d 7 z 1 t u W t 5 g l R r M m m N a q 8 4 K g s e R o e Y A O + x A + J H H 3 4 y r 2 5 5 g Y A q y 8 + O m E B J c Y l U 1 1 S b 6 g P I m O / p 7 p Z T a q u 5 4 S U m F i Q p R 6 Q b E Q z G 7 U 7 Q m G s n 8 I u E R U 3 F f n u s U h B p m A 4 Y + 3 j Y A I S J V I C Y 2 F Q N U F q + E p A W 5 y Y m r v X m m 3 9 j R a A Q L M C J A U p d r Q z m 1 A Z 0 A 5 u K 3 z I v 3 V 2 d y X c X A N E u t 8 i x Q d 1 D V x J I n D 8 T y n O X E h O 9 J Q J 6 L S 8 S V k V Q + S q W 2 V H O x 8 1 m c b 8 9 T 1 q l 5 9 G 9 5 C u R Q 0 d P m s G f C i S e e s G C p R 8 f S Z / r B b x h A 6 r K E b R u b m 6 W P X v 2 2 M L O B A i M / o W p Q E r S w U P 7 z e t G i 2 Q K M 2 m y g r M A J w P N T A B 2 G b E d 7 C S 3 d 8 0 B K h l w 1 K 7 V Y G C g f x E z Y B c T X O F k 7 N M 9 C p v K g b P h G T V o X C e b v v F b V M 5 t z Y t T y b j u d B W 1 b h C f A v 3 j I p 1 j P p m I L h 7 X W C R u e X r Y S Y 4 N j 6 t 9 O k n b c 0 p / n a M + 2 8 E Q l / y L h H V X + V I B u n O P y + N b V + T o K 3 u X b I l C j t i z p 2 2 m i r l B j R b 9 / + h h t x 6 A A 3 / + + c X 5 w j + v J E q H k d E x W 5 j s 2 g d w Y a O m d n R 0 m t 1 3 4 s R x C z O Q n I s k G x 4 O K q G 9 Y t / N F q h + X E + 2 1 + Q F N i B e O 6 9 9 i D o J w / C + b / Y W / 3 n O x x g R 7 C V w z D U x i d Q 4 B S P L M 7 V M / R + c 7 I c B J b Y o z F O / 5 g v H p E 5 N Z I j V u 1 Z e N C z P b t Y B 3 g H a v a M h Q W V J M G E 4 J x 4 + a D V J 5 A U / b 0 i z M / t q g N f u 0 C s H V 7 R w P / 3 k M 2 l 9 9 G h R t a z Z U K p v U k V L 8 q 2 z 5 Q z 5 h 2 G 1 E 1 O 1 C F s O S M 5 s r w n X t y 3 2 J E y F 1 J + i 4 r G L h x t I v F T H H V F G k O p 9 3 i P Y y / 2 R X I s K i l a B R M F 5 k A m Z m q m M h R I q I 9 t 9 V h d A q C L 1 S W I C W d 7 6 p s V z I S g 3 R k c m z X u G z Q H w o n 3 6 6 Q X L l z t 2 / E h K t Q s p Q L 6 c B S 3 X A X j 8 u r t 6 k q + W B y 5 s 6 p 8 g Q v f O E 2 a 0 u + Q 7 K p M D M s 6 d 7 O y V g H t F L c T G W g 4 Q E 9 e G N A G o k P Q s R z V j 0 z b g f A b x e Q m H 3 1 Z V V + s t u G 4 i C Z N 0 O h d k 1 d O B i i 1 A H S z X L c o f W W o P 5 e q 1 0 t C m o F C l k K q E t C w I T u v 1 6 P 8 b s f H Z V w V / L K n v Z g I B O 3 a Q I 1 l 2 r a g M T J h N h B e J u i M W R W F B / q I + F a m w V y U X 5 R t I l + W R + Z 5 Y K G T M Z w t U u p r a G i l L l j K 4 8 c F v P r B C R n Y E J B i L Z G h 7 9 t R S m r z x s 2 x B E S U 2 F s T Q 2 9 N t a i b j 5 F 7 4 f E a a k W O L U q 8 E K q o q L Z b k A C Z E s B a C 8 G 4 E j v S B y A a U W X l B P M s d j y J j B G c L K M z J P L 5 I H y / C q m r i P G I X D Z w W M V 4 k Q y x f J / i 3 l S Y C t u n A A D S r q Y M H i c x z u h d R G W s O i R W i N N R h Q V s i 6 L h n c Y U D E l B b 1 E Z C W q X i l g D J Q M t e v F J 0 Y c q M z B M F Q b F p 3 H J A d e K a b A d F Z Q K p w G 4 k b I d K 0 i x A M r D p c 1 / f Q N r f Z A s W e 2 P T N p W E i V 0 N s X V Y 5 B A T U o z P G S 9 T z 5 I 5 e 3 z H D a Q o B E Y a U o k y B A i T f h 3 8 d e J c 7 I j h w J G y O E e Q U g 6 Q U k 6 m C T F G e n O s C C q R E J D k / n 2 d M X 9 3 6 d y T b l c s o B V Y n Y r 8 2 a F 2 i S o X Y 6 t 7 f w o p F 5 7 T 9 z z v 3 2 7 t N 8 l E K Q S G 8 5 O n z 4 z D U h 1 L A x K W w q W L l y 3 T I R 3 o X + H k s 6 0 F X B n x r V R g w Q 4 O D s p v 3 v / A z s V O h 1 5 1 y Q E F f G + 8 e c 4 W G 4 s U o L a 1 t b U Z Q a 4 3 s I V I p X K C t R R i r g Q Q J q o h f 8 k H 9 A I p C 9 F S 1 u L e b Z D 7 Z 7 M 2 Q H + H k Y m V z Q G J H + y X + 3 X H P E H V F S c k F Y / Y z M I k O a 5 M L 7 A P y E 5 H / N c n p R y P g O r P / N 1 R o e / p + 7 h I e V 1 f E J G G + i p J 7 B m r H K 6 8 X B c D O e 6 J Q W b C C J i e P / + 6 D n 4 0 b Q y H 7 7 G 3 7 F r B 9 v 9 p a M Q c J B D F P / j W 7 1 i M z F 3 m 7 g Y Z 6 r Q G 4 D h 4 w 3 q 7 E 3 E b f v u d f / g t 2 w 6 G G i q k S D r J u x q 4 9 y N O R + j p g H v c 6 U P u 9 f g 5 g G g J B A e H F k v x x q Y m G V O V u 7 + v V 4 r 8 K 7 N n c / I S 5 U B f d 6 Q c 0 W 1 V i b b J q H u k z 6 c C a T q p Y j K 4 P 9 3 Y V p Z Y S E z e 1 N T 0 v H E 7 O j q m q t T I v G f M j c T m y 9 V W s O Y Y 1 Y D n n Z 2 d K g n i 0 j 5 K u p R Y o u 5 q 0 N 7 R I Q c 8 7 n m A V O H e Y B h O L O j E p d 9 X Y 3 O x P Y Q 0 o m n j 6 + f O z D O F s o p K K 5 n g O l E r 6 U G H 4 U 8 e I O l O A 4 M D 9 r 3 1 R D q i c I P r I S O C / E N y + M h T B E g 5 V L x U k g p g o 3 H 9 D m i W Q 5 w q r 6 x R 8 o s q V J K t H 5 P 4 u m D R d j Y r A Q s S 7 p 0 u Q O u A B Y + K A C P F o c B k s l h J f q U j K k 1 E 0 g H 1 k D 1 9 T 5 5 O x J / I L a N m a T x W r I b t A i E i A V e K Y D A o b J o 9 M T Z u i 4 b a K 4 i A v 1 S d u t s g b 3 v 6 f 0 r 3 n h / Z c w d s k N a 0 r V H C 2 H R T k 1 J b l 9 j 6 B 0 I L 6 y I l h l N R V W 2 9 L W h z D U b H R i 0 X s H l b k 0 n j l Q L C g O A p s a f F W r Z A K 3 B 3 r G U b G X L + u G + u l z m k K p j y j p r a O m V y O f M 7 Y c A A c / J y h Z Z x 2 G M s F k a F j I l s g r w v G 1 Z N U P 3 9 / b Y o 8 N g t B + I O L P p p t a s C 8 T k l F B J Q F y Y 4 E 5 h 0 0 n l Y T H B Y N j E o r a y W u d y F B e l T t b I h K Q m z B c e j E + 6 x E 0 e t x T E L F Y L K B h A T i 8 5 p I s O x I K b E A o 2 a H c J 7 j 1 t b T Q q w p 5 I j S X C n f 3 H p S z l y 7 L C l X q W S M M 7 x H L C 4 n 7 V 1 m D M H i X 7 l y 2 v W k s B p S s p C J x 8 v k / o 3 P T 1 l T g j U x Z H h o J S V V 8 x L Y D c g M M 7 v H Q t s K t R A B 5 h u q X b J e N m x a o J C 2 u D q z o a g h i a I s v s k F P N b y o n T t H A 1 Y O G T z j P h X 8 z h V y O l O F Z n V 7 d U V p R b t n g m I C 2 p 7 C 0 t K 7 E 9 n g j k u m F u c x 0 P Y k B w e Y D d h F f z / v 0 H 1 g 8 D I 5 8 W b J w X 7 + G d W / e k v q H W S v s 5 P l n t E C p Z F z T b 5 M F r H i x + F j o S f n h k V L p U 3 S w u K Z I 6 / Q 4 x P Y j Z m / + H c w F p y X l 5 j j a A M 4 j j c D 5 s P S / S E Z R V 8 a p U o 9 l o S M 2 n 0 a + 5 t 2 6 1 e C 6 j U l O a I C a Q r u F 7 t m C i y V Y I u x w n A C k 4 v E I v E s d q b K h P c P o M g A C + u H R Z V d U i a 5 / l 3 n H P Q W 1 9 v d k X 7 p I L b C t q g k 6 f P m W S 6 O M P P 5 E b N 2 / Z V q C E A d 5 8 + w 3 L s m B x 0 6 x / d G R M C a z e C h q p I v 7 0 k w u m j k F M 2 H W A 4 7 C w i S 0 d P L B f n j x t M 6 k D M b m D r x A Y 1 5 2 r R I 6 9 i g R z C g m R Z P R a T A U I x 0 t M E B i u e 6 Q c 6 u K 0 q n 9 b S I 3 A H / z B D 6 2 n x E o B p 3 Q 4 p x f l w 1 f m e 9 U 5 o J / E X J K o 1 m O z M 5 w l J G G 6 P U f 4 D K m 9 w W l B K X b v l N 8 2 Q Z u d j c 9 v y e 8 F w d d 2 V e H Y 4 z Y d U D X p K 4 E k Y I G n U q 1 4 j w d e t M H + P s k v J D i b u E m + j V p G Y 5 e a 6 m p d + F P S 0 t J q s T h q v i i / Z y M A i O n p 4 6 f W + I W N z Q i m 4 n F k G x y u j x 0 5 C G 6 z M w a F l 5 S v Y 1 f S X R e Q a 8 f i 5 z q Y H 9 z r u M i R R F 7 V E g 9 l K v u X O j P 3 d z m O c x 9 I 4 P 6 J g M S W q X x + m f F c V D 4 H 7 r T / i p y o F O a t T K K k w n K l B O M T q v I U 5 M n 2 8 q W 3 i e c N T y X d Y J 3 G j d g G K R L e 5 a F K l V 2 7 d y 3 p 4 e c G U g G v G Q u d j A k n / c c L 0 o D I k 0 M y I p 1 G l I A 6 O z q U G P R D X d B H D h + y t s U 4 C h w 1 j s 3 n d K U b c b g L B L 1 d b n F r I 2 G K 9 P g Q B x I n V T N M V D t q r i B 8 0 o v c R I T a 6 r S r 5 n v O Z 1 z f 1 y l N a C P w X E e n M m 9 B V R i N L F Y r V g s 6 4 7 C h W y r Q q L P r 2 V O z 3 y A 8 H u 0 j i Q R N M D A 4 a P s u Q U y T s 4 k m n U O q N v I 9 L / k R 3 P 3 y i 8 v J V 6 m B s Y 9 D w h w A U 7 2 S O z N k a p c b 2 D I Q C V K E T A o y 7 t l w o X n 7 N i X G s J w 4 e V z G J 6 c s G y S q K 7 i r o 1 0 l X i I g T h c m t 9 2 D r b X D k 4 C L 2 o l r H G I C N A x 1 k H C a x J T Y g y r Z x s z J U F h Q a I Q L u F a + Q x w Q k E / o l W x b y I w N U f n S I c f v W 1 w O r a r Z W h w U o D g 3 K k M D v e I v X O x U I D X K N z 0 g K q C k s n r B O 0 U m d D i p G l Y 0 b L e / P F A d Z 2 M + o U c h o A K 4 J D e R L o M a h f q F y 5 4 C P D x t 7 o X W 0 f Z M C p R I W K z F h f l y 9 s q P Z N f 4 Z 1 L X + 0 t p 6 v p / p M u 3 Q 2 3 H X L M / U M M g O n 7 P b h Q 8 H 9 f F / e T x E z n z 2 l l T / 7 B v 6 P U w p Y Q 1 M D B k e Y e k D q H K 0 m k J Q G D s M E i / j E z A 6 5 h Q A R M V u D y H o N 3 5 f s P K W B K a c 6 I v H 3 E p H C q o u s 6 1 k m 4 0 6 N q G t S 6 f p j 2 u u d y C 4 b m z n 5 L A g j S Z j P o l R W L y i o B 6 Q w D y 3 t 1 n u N X s w R 5 S 9 U U x s z l O 7 E u t d i 0 L X S s d K s 0 e P W 6 z l t C f f 3 r B 4 j l I C N Q h X N k O t u / c J a P 6 m t b U x 7 7 8 z 5 L v L u B M x / 9 s n r 9 x q 6 e a t U V N L h 7 N 9 i F C V L J j x 4 / L r Z u 3 b f G S X j U 6 p e d + 2 C r l 5 S U W u 6 J z b l 3 9 w r 1 w D C q O K S v h m O k A Q W C r w Q j S o W H b N v M E O t K P 0 n s I r q q q 2 q 5 n R n / q d i a R U O 3 x W 2 w h C R s l 1 B C 8 S K 2 t T 4 y L b i S 8 C c Z s q 7 l W V J S V y u n 9 p Z I 3 O y Q N R V H Z r g K J i l M a 3 R N E x q X O o 8 S / M u 8 U W 5 e W N e 2 R 0 2 d O y z f e e V u 2 7 9 h t H B w Q 9 K Q y 1 l n M 9 Q 2 N V u H q j 6 b 2 G H a 1 P 1 P C 2 2 k B Y E D 6 T 6 I E P 2 4 L m e t E e k F g 0 T m V / r E p 2 7 U j E M i 1 x c 4 O 7 E W u C l + u g 2 2 G D h 4 6 u K R z k R s R X P R j E 5 Z 1 j q R N B e w 3 v J P D S s Q j r h S 9 v n F s p o C M e D y z T a W p j 7 M F X d + H D h 5 6 r 7 e 3 1 5 J T U S e e P n 5 m T U x K d Z F m y m J Y j c p H L / F c v 6 o S O k G U D j j w 6 S L K W + M O 3 z h H i E + x Z Q t V v 5 2 d X U o A z Y v 2 s s r X c 0 y o K o c a t x I 4 a m F Z X q K a l p x f L p 8 M b 3 p A O C 2 5 Q F 3 P L 1 X d X L r A e 7 Z 9 f z 6 h t a + n 2 6 Q q h E R z f R w U 4 V i i v M G f q 8 c M F 0 h e c b l U F O f K g w c t F g S n B 4 c X u M 9 x q j x s a T X i 4 9 o o J X n 2 r E 1 a H r R K V 3 e 3 1 Z F R i k 8 D f z Z 2 2 J Y M R j s w A l b p h a M D Z Q E 1 L j g 4 L C E 2 J H f N k R v U M o 3 N L m 4 n t 4 U E z M t H a 2 O M Y 4 f 7 s t v G I 5 2 k p u b G + d 0 T v M D L R 6 6 d Y / y m A m X g L A Y I C e O Y j c E c A g y G c u X M + d f s O V s 8 7 s x + 2 6 C s g A 3 w 2 S c X V L K 8 l X x n A c t 5 B r 3 I U c 7 u 7 G I P B k K 6 + K M x q S n R c Q g O q Y 2 2 o I r 5 Y 2 E 5 f u n 3 k 6 8 S G K z 7 H e n e / 8 f 2 H M d F h U o 3 d s G f m p 6 0 J v x 4 / U J 5 1 e b t o 5 7 J G W 8 K 8 a 5 + + A t r 0 s m 2 O O l w 9 + 4 9 I w h q s P B G z s 2 G 5 d D h g 2 a P O T E l C A e P I I 1 o c v I K 5 z u 8 4 n i g 9 g q w N e e 1 G / e U m C v l 2 J G V V x t v I U l Q t t O f v v D u U I 6 n 6 Z 5 O 1 v 4 D + y 0 7 3 E 1 Y K 3 W b s 8 C d J F I w F 4 l L c C 4 x q + z i v X P B b 7 A u Q H U d G R 4 1 z u 3 G S o n J Q Z 7 y 7 + q k x s U x q D 6 d U Y J A H e v t 7 r J x Q L 0 i N Y r 2 0 a / 2 / F h y w 2 P y 6 / J / K j t 3 J 3 Y N w R 0 N c 3 G r b i D T N V 3 8 5 b + T 7 3 3 / H 6 V k a m 6 w b 9 f j x 0 / M / q L 3 B j Y X q V E Q 1 O R c j m 2 j O T 4 d l j t t U 7 J n V 2 J D c H Z K 8 e W g L d j L L a w D 5 u N Q b N t y 4 t T x l B H 0 C T V q 7 6 s 0 O n T 4 k J Q p 0 T G 5 Q 8 G g 1 T W t J A 7 l h X s h s U B T x X 9 W C 3 r 9 c X 1 4 t h z 0 T C p J p 1 F j V g o a i 8 h U j z Q 0 L e w 7 l Q p 9 P Q v f c Y K u X m Q i q C f P g n J q X 2 X G z R h w l l D S T 7 I u T J F z k G t J s x i q j d 9 8 6 7 x 0 j Q Q k v 2 j x e Q q U S c w 8 f 7 / U 1 x r z o 5 m X n 6 s L O v X g o j q w q R q R P T q l X r r 4 h X S r j e K 0 o F o P k G g 5 M r V 2 Y 5 d g K Z y a H e 3 d x M S i X S 9 i A u V 5 o b T E 5 C 6 H w G 0 N K G U f G l x a a p 6 J m M D e 3 d U y H v V b w N k L G B 2 S 6 O m T p 3 o t D a Z R E E c C 7 H l F S 2 m 6 5 Z K S 5 C U m A D E h p b a w f p g f Z d o K e 3 O 4 v C C B 9 L X X z 6 r y J n J C 1 Y r l + k C s F D O + Q M q F k w 5 w f G w D 7 L P O r i 6 5 d u 2 G x W 6 s C 9 G Z 9 d / 4 z I 3 g 7 G K 1 z Q 1 2 7 q M / H 4 4 b J 1 5 F b 7 z a u g b b m 5 b r h p C W I y Y 3 U m V 2 0 + k W o j l + 4 r j l B s I Q y Q d 0 8 O D B Q 4 t h s V m b F 9 S 7 W U J x u n 7 Z W 1 g V 5 k e T 1 l f Z A H V i v f h 8 d f 5 S 6 u m n E 8 4 y I O B 4 / d p 1 u X H j l t k O t M 8 q K y 2 T f f v 3 z m d o O 4 D 4 V 7 J w s 0 V R s n e 3 F / R r I H 5 D 3 h s S 0 k l I p T 4 K 5 0 N p W b l 0 j a a P C W W C 0 u E 8 U G l 1 M u x e m Z O E x z V P c v N y j J C p 9 0 J K s T / y 9 a u 3 k r 9 a w G x Y r J H k a p W M V G 0 P t u A i K C b n e W M 2 N C l D T 2 4 n X y W A W m Z N E F X y 4 L 4 n z s P D U W V 4 T s z s 1 O l T t s 0 N T T H Z Z Y P N B G i W 4 g b 7 W q 1 2 O 8 r l M J v C k q d 1 s b t P O A u d u F N / b 4 8 5 L 3 C v E 9 f J W a 1 k d 0 1 R N K f c w g T u Z Y 3 N R N k 9 X j 8 y z O v q a m y 3 k Y M H 9 8 l 3 b / z A H q 8 + / R / s u 5 R f 0 I l o N S D d i 7 Y H 2 L 1 b W A w b U b q H r i S e t B 5 g o j v a O y w D 2 z u t U V V D x s Y n l a t P W n U q H V v b 2 j q s e p d m / a T b p D L u D x 4 6 Y A Z 6 / 6 R P J m b U L i x c 3 Y J Z K R y C b 2 h s m u 8 a 5 E a 9 v l 9 Q W L R m S Y l U Q U p N 6 r 1 F / D n y 6 t n X 1 X 5 q S 3 4 q U l t b L e f P n 5 M z Z 1 6 1 c c W V T u l 7 S e H C 3 N a N p W 5 M s x I U J v O D 1 9 O J 9 H W B H 2 K 6 q a r T n r 2 7 k 2 8 t D 7 a h W S s I P t K m m E m v y F 2 a w d D y u N s C z W x 8 1 l B f Z 7 3 C 2 b 0 Q Y k p n 6 0 W L a m U y U G 4 9 3 7 x 7 A W 8 U U P F Q 7 V C 5 u C 5 v N g J p O 2 N K A P 1 T a 9 c A R s J + C a q a N s G 9 6 e H 8 u Y W W D 4 j N B o g j u t V d g N d v a r W N N 1 K A 2 3 N S h 1 d i 7 7 4 s 8 N + 8 c V s X 6 R F L 4 V 8 O Y e X C 9 A T P 5 r u Z A B H T 8 8 2 R M v n O H l M u n D p x a D 6 3 z A H f d 4 x 8 L 9 h H y E l s f V 5 4 3 D m s a t x C 5 T A O E g K 1 b p C 2 w 0 b g 6 3 V t Y R c z o 1 M b a U e U 8 K f D z l 0 7 V I o 9 k 2 v n f i I 3 9 / 2 3 8 q s 9 / 8 u a G p Z y G 5 V J c 3 u r B H 4 p / L v 3 7 F I O m 5 T h y w A P G l H 7 k y k q V l c C g p 8 7 d m 6 X c T X U U f 0 w s I v i C 9 W m Y C S L y S I D m p 3 G U a W G X J n Q z w v F 1 T U y O b t A K E i r 5 4 l p H Y A D B / c n X y 0 G M s T i X v o f v T 8 m Q 2 E J V x 2 W + / c e S H H + Y i m 6 U k y l z 8 V 9 6 e E P 5 V Z a B 5 v l g I 1 A b 4 T y V X T r 8 Q L H Q + u j x 3 L h 8 0 v 6 I q 5 S R 2 2 e k U F 5 + O X H U h R J u H 1 p 1 5 s O q B o 4 G 8 i A j i b q D r 4 y T I c X 1 E 8 8 e I M D S 2 N N G 4 U c V f E I 6 J J N D v J m E m 3 K a J l 8 6 c I X 1 k w G J w X 5 g F c u X 7 e s d T y h p I v N e V o I r A T E x R y w m 8 Y W F u D 7 n / 7 l T + P b t 9 e a C 9 v J 7 0 o F A q Y 0 o q + t X W U 5 h A u W Z V G c K M 1 e 7 I S P y 9 W r N 2 T 7 7 r 0 S K 6 x c 1 H g l q A J s L r 4 5 V Q z 2 N 3 I 0 O q Q C j S D N Q T E 7 K 8 H o 6 j N J s k F + P C K 9 b S 3 S v P e w q Z a M 2 e X L V 8 0 D 6 r a n x i d D U l Z S q O N 7 3 X p W I N 1 X 2 9 + D 7 W p g g n Q H z i v w 6 T X E U n o 9 X 0 b 4 u 5 + 0 S P e T 1 o z E B O i y Q 1 R + p W C B U R 7 i A D v s 4 Y N H V i m 6 N K L l s 8 k e 6 u u W r o c t 0 j k a k 1 F V q V D p s i U m J j v y n B s w O i 5 9 w L 1 y V 7 x H L G q j M e v L 0 X k Z N m K i S y 9 Z 4 A 3 b d i 6 p F J 5 W w q a k x a m L W o t J R 5 F m Y 4 k y Y C U m A D F x 7 i 0 o Q b 1 7 / o h M D H W b Q Z 0 J + 1 V V o B R g p f j y y y u 2 V S b 1 O J y D 1 C V 6 y u E t S t c o c W x 0 T A 4 f b F a V J k d C K 6 w K Z b L n N 9 J + T h g K 5 0 l 7 e 8 J 9 T c w J N z n S g T K S 5 4 F d e 3 b a X 7 / e O x s 8 5 1 T U S / d g Q g 2 k g L N 7 R C Q 3 M i w f f f i p v H L 4 k L 2 P E 2 c 1 c J b J o v i e z i X n p u X A y w 4 / e z X R w d X r 7 v V i O h S S o 8 e P S N B V q Z o N c H h U 1 y R K Q M h q x 6 n B Y o N D p t p y H 8 K r a 6 h X f b 8 3 5 T V F o 3 G T Q v G 5 m J Q F Y t K g K s 7 S D h D P H 8 X V u 8 y W o X r X Q U 1 T + p K L 9 U S f j p U b j G 1 R V Y 0 x L Z U d E g 0 N W 1 n H N 9 5 5 x x w U 2 M z j q + y r 5 3 a y 7 u 7 5 O w s W O 4 r G 7 F Z r Z v H T J p i 2 v j R e T A f U F 7 I Q i B n d v / v A 3 N 6 U I T B J t F R 2 A y I g a Z N y j b G x c W v i 2 F D f k E x Y b V u 0 Y V k q 0 L u h q b F B x k f H p a k 4 s d k A u j q E Q 2 S + u T Q u z W V x a a r Q R a w a F X O 5 D C 9 4 L k D R m 0 k 2 O 3 E w M b v x H H u o u 1 d 2 n z y X f L U A / H t 0 K L r 0 x R W Z y S m T 7 Q e P S z C c I 3 1 T v n V r o f y 0 4 T + U Z / X / y E r i Q V H + 8 9 U M N i M C J 4 4 f f y / R N o p e B k v b I 1 P j c + H C F 3 L 8 x F H 7 n G R M A o k 0 Z t x / c L 8 8 b H l k u W N m R y h r R M V j c 7 L r 1 2 5 a V 5 4 D B / Z b F o Z V j u 7 a v u y e S U g y v k + P c Q i y s b p Y y g s S h K N 2 c E p M b I Y u p n r d p Y V F E o / O W v 7 e 0 L R P Y s s k G 6 8 H 8 n L y x e / d c 8 i F y o b t a u / 4 Z D a a q 7 O t A 4 j 4 W i d Y X L D 2 q N l v B c p k 5 1 a b G P g 1 g u / f / p u / i c + F I y Y V G C A H S K y W + y 2 W g 0 a s y p E s x I 0 o S c D j t 2 f v H r O L M I D J v Y O w q N D 1 l s 7 z O a U F b F 9 T U b F 4 o + p 0 Q M K R O c 1 u G 7 v 3 7 L b a p l R B 3 c 3 U F p h t L y s L o y o F c s y m A E j W j c o n B E h t 7 C G y K N I h j 8 W + R i 9 c X P X E b M p f I K y Z l 9 j j N 1 + x y 2 K 1 J o 5 K V H T v I U f s 2 I k j 1 r f A D b x Y 9 L P r 7 x t Q q X V M c r L g w l e v X r N M 6 M N H X r H e 3 i s B u x u S n 4 e t h 6 u d M m / 6 a z v x s J 4 p m u T b 0 0 2 B / F h E Z v 0 L 9 4 g b m 6 z u 1 S a i L g f U 3 a b i m A z P J N q g f R W g X 3 1 Q z 9 9 U o i q 6 X k / 3 u F 9 V 9 + S H L x m M o J A s N H F k o S I J X t G F T / D P X a D n B S k v E F V z c 9 M i y Z Y K V I + 2 P W u 3 G i V v r t l K g K R j J w 7 q f u h v P j C h 7 2 3 y D E 0 n l r Y R J S Q O k I z 0 t 9 j I c 6 Q C D q J A M g B f 6 I t J h W r z E N S c a v + Z J O b X G b 5 P P v k g j r 1 D A / x 0 e X L p g B p 3 5 / Y 9 O X f u b P K d 9 K C H + N X L V + X V s 6 8 u 6 k S 0 E i A d c X o 4 z W S e 9 w J a D Z 4 H Q Y G + x / e s F q y k u l 5 m 1 r E B Z S Q S V y a Y + n g 4 I / x J g q r M j U m B S q U X Y U 4 2 E n 4 6 E 5 F p v l J i A k i z n T u 3 W 9 A X m y c T q O 5 9 9 c y r t g H 0 a m A B U 9 X N H W I i 4 P s i g P b O z 2 O R N e w 7 I u M j Q Z k c 6 F T R s b L t O j N h e 1 l c D 5 c i v D E T m y c m g E Q i s z 7 2 k s e i / N h A O A u 8 w G t H L p h T G u D A U b v 6 + v r k g w 8 + U i k 1 J U P D Q W s Z t h w K C v N l e H h Y 7 t 1 / k H x n e Z i L X q U b B O 9 s H w r p r j T g + 1 V h t f G e d C B 2 5 1 c p 7 f c t Z W C 7 d u 2 Q q q p K q S / x S 2 6 K z 1 c C b D N H u j Z X J J 7 j 3 H B A E 1 A v y K z 3 v + Q l 9 b 4 P f / v r + N 2 7 9 + X E i W P z t h B q 1 e 3 b d + T w k c P S 3 d 1 t 7 b h o l g g x 0 J i F 7 T L Z J o U m i y x 0 p B N S i i 1 S Q t M z 0 t T U a A 8 3 Q j M h u X v n g e W 3 j Y Q C 0 l i Z a 6 5 4 p 7 A R b y H x K + u N o E T + 9 G m b b d s C a F 7 v 3 o v 3 Z V Y r u P P 6 5 E K n z M l t q z g E 4 G C 1 4 9 R 5 / 4 4 8 e X R P v v X t b 9 q 2 q R W V t R L L K x d f 3 u r t 3 5 c F 5 p T o 6 O y U 6 u p q k z 7 s N w R Z k R F x 7 F h i b 1 g I z F z f U 9 N W a p 4 O S B P E x 9 D Q k E x M T F m J N r + j T I O + f u z + t 2 v X L p t o d o V / 1 P p Y y k p L l J j i 0 t P d Y w R M L w S c J J S 2 p w I u 6 L X x 3 q 8 H n I T c 0 W l l V s m a 5 6 i q Y c 2 J l n v m H E g X w C X T h B S t V C g N 6 H E j U w l N Z H J K q m o b Z H g u s K k 8 q Z s Z N u L b m 5 s t 6 + H u n X u 2 + z r b n O C i d o D k w j u X i Z g A 8 S c k V l 1 d n b m 6 D x 0 6 I P s P 7 J O 3 3 3 7 T U o 4 I 1 E K c R Q F k m l 8 O K d F Q k c t m Z l T j F h T k S 2 9 v v + z b t z d 5 x M U I z m w R k w O y I C A a G l g 6 k i m g a h i q G s g U M k p F T M S Z i v 0 x K c m n x X S x 7 e x R U l J s 7 a u 3 i C l 7 B E 6 c O P 4 e 6 h Q B V 4 x + 4 j y P n z y V v X v 2 r M p R 4 W C g f 1 B 6 R 2 d l R 9 N C u Q c E S U 5 g e X G + L Q Y m 3 S F W z k V W B q d M F f w l Z Y Y d C r e w g G l V + Q p U E 2 b M 8 t R m w q 5 k x 0 Z 6 j 6 O d E f D N V C 8 G c 3 P U f N K 8 n K 2 F c A D R 5 I W e f n x c 6 I 9 b 0 u 1 q g C 2 n M i / 5 6 u s P P 9 y I B U w O H T E l M J N F j 7 5 M w K H x p H t c X t m 3 u D E 9 N p i z B 2 0 6 2 9 X x 4 j k Y m U n Y A s + 7 v P 1 F A G P i 7 N k E M S C p 2 C 5 o I p r o + X f l 8 8 / s s 5 R Q h t Z 1 / 6 Y u 9 b h U + q f N Z v 3 w t x / b V q Q 0 M j 3 o q g T G f C U D Y j l 4 i x b L c m N r 3 q 7 o R Y M / G k 3 s + o 2 N Q / I r o G 5 m L a D h 5 L f f P S O F S S M W L W Q y N G c 6 O W p E t o C Y Z m h I s o W U i C U X q 6 P m g V J V 2 X K S i v H x 8 9 + w v 6 n Q W B y T 4 8 c P S s e d K 5 b Z j 3 f w n X f f t r 9 s 3 e N u s c 3 x S S d y z o M 0 h H g p S s 3 X c 7 G D J F L M 6 / k L q 1 R 7 2 R i h P 6 6 z 4 s 2 I c H Z j W A 0 Y 8 0 q d l J L k L t F w S h w J V + 5 2 L 9 l K J R M m Z u J b x L Q M H I 2 8 1 9 N R q b Y o L j U p m o i 6 w b z Q 3 O W 1 1 8 / Y l q Q V F e W m l T i E 5 I u r g p 2 U S n R t A t A G R M V u j / w + q N J x V m X c V N w v o R R p T 6 n e + 7 r D z z a X e N U c 9 P X 3 y 6 7 d i Y K 1 1 Y C Y U V V l h X n r H j 9 t l 6 d t Q 3 L n f r f V y k z P J l l c G j D 8 J O U O 6 g K Z j K 1 e 5 X z Z Q N I q C 9 y N 4 S y a 1 o w t r j a Z R 0 P n v 5 E T F / + J P v 4 j C U S m J O S u l v b Q a X i Z O f W C I y H d K J t 3 J O z X C X 4 a e j i i n J 0 a y H 5 Y S y O W Z 0 + f W U C Y 5 N q K m m 2 y e 2 e N H H 1 l m x w + s l s H f 0 p a H j 4 0 l 2 w q E J M a V n Y Y 2 b K X s o Z O 3 z z c q h + x K u w p 9 3 t e T C f d 7 V 7 k j T x K P l M G O f Q k + S y B h p K Y V O Z G z S N Y n h O T 3 A w 1 U L j n v c C 8 A F W q + V f m f f 0 o y t / Z z t 5 G B R Z Y p V o 2 V U 1 U t k A 6 8 f v K y k p 7 X l C Q i F / w I C N j W 2 O 9 e Q 9 v 3 b o j o 6 O j y V 8 t Y G R K Z O f h t b U o e 9 k Q c M V a 2 T D N j Q L 9 z J 8 U A x B A t u g 4 / m d q + w Q k k l s m g 2 U n k + 8 m g G e 2 I N c n Z Q U q 4 Z b J A k n p n t f F 0 K P X 2 a 8 S d d S d Q B u L q z R M V G A j w Y r S 7 O y / 2 e F / 4 / z r y a e 6 6 N e Q C Q 7 g P g / u t 1 g R I g 3 9 i 3 R A G R y 2 T G l S z g a Q Q n T k I e P i + v U b 8 x y L f 1 / m O p q 1 g s Y 0 v j z / o p 5 5 Y y F l Z j r s z M F U 0 h 4 l i J 7 0 W R g 6 R h P q I q 3 Z J u f U 7 g k r Y U 7 6 5 N b 5 n 8 j 1 0 / 8 y + a 0 k k i X u f J + u S R w 3 F d i B H 1 B p z T 5 a t Q V R y X G l Q g W U K p G g p D I 5 z V 0 a S + J S p 4 q R Q 4 L l a s p x / I K 5 o J T E F r Y H 2 u z w 4 5 A g z E p 1 L U H d t Y C 2 Y D O + Y p N 2 B G o d o 3 l b i p p C 1 E q k G e f l / B t Z h P c y w G l M Q 8 8 8 h 6 g o 6 a g v T z x 3 Q P s v d 1 g o N y / x g i 6 w V D 6 b 1 N D v E M M K e t u M 6 T n 6 x 3 W e / X H b 4 D o d n H n n 2 P F c v w z O q L R z x c N i A Z 9 0 q 4 I S 1 7 + N p Q m P Y S b k J h k z j 0 g o 8 3 e / a g S a t z W / Z + X v Z a W 2 O + F a 8 a R 7 U r l L f E k u X y o g y S g g v H T p i t R s W 7 0 j Z A u L M a u L N 1 f H 1 Z X + a J t u r w T p A r l + l X B h N A k l B m h 4 J q L / e L 5 K P 4 v l Q C N T A r 5 T + n u u r V j t M S f I 7 A Y O M 4 p c H e 2 p v E i k N D d u e Y z L B Y w h w D m V k t H n a J P 7 3 3 3 3 b a m p r l 4 X Y g L l 1 T V S X b e 4 v 3 c m k A z 7 y m t v J 1 9 t Y T 2 A x j W i 0 q Z j b P 0 X U q 1 r m d B 8 N L D G r H Y H / a G A q Z J e b 2 U 6 E B r I h D I l 0 O 4 J 3 5 p L / 1 c K f + u j V t t W h s 2 p 2 S 6 G t J O 1 Y O e O W h l F G V 8 B U O u 3 s H 5 w G H K u i h B n k c b V 4 F 9 L + 2 U H 5 B A 6 o B 5 q I 9 L B 5 l x O Y K o X 0 g E J 5 I 6 3 B X Q d 4 d Q I 6 I K i b M Z d r w X Y U 3 i j 4 T 9 y 9 I g 4 D 7 o Y U Y X r Y G R k 1 I g N B w N 2 U T Z o K I r I 5 c u 3 h A y M b F G / t X H X h o K p I 4 N i Z 9 X C I m S p I c n C s 2 q X K K E 5 0 5 v l N K 8 L k r 6 L J b C A c T I c Q K W C N 6 f U v b T c f T T Q U r H F o 9 i J K c C e w t B Y j A 3 H N w i L r h T 1 6 8 G 9 F o s T I a l u 3 b p l j o r B w S G 5 e f N W V k S F e / z b 3 z o v L U 9 6 k u 8 s D 8 9 4 b W G d w f h O J v P 7 x l V N I 4 8 S l Y j m L j s q R b Y r o W 0 r S c S s n u d c p D N t c J M 5 R M M e Y e 5 1 h 1 P E v Y 1 O S Z q t W d O B F o L + 3 I 2 7 y U V H h h M c f O W A 7 b K B 9 4 1 6 K J J n 2 Q Q a y z O V 0 e g G h N j W 3 i 7 3 r l 9 W F f L + o g y M L W w O k C a E 2 k Y M C Q K D o 3 e O i H T p g 2 6 8 S K + 4 r j q C w g 4 g N C c / c K M R m Y 1 b K T 3 e R q 4 v L 7 n V E m Y B L a V j y a x q P q P j F U D q r h g b d D t W Y J h 8 n h F X L l + T M 2 d P Z y S q 9 o 4 O q a 6 q k k Q 6 0 5 w M 9 P W b C r l j R 7 M l 3 m Y q B 2 G A t r A 5 w Z 6 6 g a R b f h 6 s G t d b 0 6 G w P L 5 9 Q 8 6 d P S p j 4 c K M G R Q r w f T k t N Q U K b P P K R D 6 e X q 7 K T k d n y B 6 9 g p b S 6 m I u 5 x l t c h 6 F V d W l s v Y m C c U 7 w G Z F h A O u 2 o U F u T b 7 n m U A X z 5 x R X 5 6 M J t m V h h 3 t c W N g f c x J T v 1 z l E b / K s u / L 4 q B w 4 e l S m / U X r R k y g q K T I j s k W r 6 l a k 9 H v M K h m P 3 R Q j + e P / 1 e 4 z A h E k 5 m x V m I C W R M U 3 V v b O z r n 7 a t U m J y Y W j L Q Z D C / 9 Y 0 3 Z V d T m V y 5 d i / 5 7 l K U R M f l 2 p c 3 k 6 + 2 s F l h T g C P 9 w y E i 2 q l w F X l / T w x p 8 s Y D c e 0 H L 2 0 l d I F 6 V D T y Q T g L M q + M m K R y p e f X y A n T 5 1 J v v I i b h L I 7 w + o k R j V i 6 Z j a 6 L a 1 h G V f J 6 X R 9 O V x X f E T u R g L h K T P I s 2 c k q + w 0 4 a U X t F c F l 8 G 5 d h P q 3 2 3 A e X r i d f b e F 5 I 7 G h g E + S 9 a U r B r 0 u K J z c 7 F j B F f q U W B K 7 n f M 8 N 5 c t a R J E R I V u g s h 8 R l w O A T l I i G D 9 T C 3 L x O e J 7 5 B X R q U w + X 0 Q a u J 7 W / g 6 g p i Q H 3 U x C Q g k n i I b P R 3 w R W x + c l r B N U I E u C / d L k z U O U r W I Q i I K f F 5 4 n t u R O Z V R L a S p J F L w B 6 J M n u X N E s j q r f o 7 O u B y F w i b w 9 P I s 1 g m s o S r 3 n g x s 8 E E n 2 d 9 m m b G S s g e t Q 6 X f P 6 T 6 K X 3 u L V 7 4 9 H j b i Q V u 7 P I E R 6 p v v j i U i d V 3 p l g 1 R 0 x n t p 4 n d b 2 I Q g e 2 F 7 Z e J 5 q t 1 3 l m s I W r / 6 E r 3 n i r R 3 8 f n n n 8 v P f / 7 z 5 C s H i V g U D y / i / l z 5 + O O P T Q I 5 D V 4 g p r / 8 y 7 + 0 n f 3 u P n g o P / 3 p T 2 U u n O h h 4 c W P f / y / y Y P 7 9 5 O v l o f 7 E h 4 9 e r R E K j r g u F t 4 v p g J K R P 1 Z M p U L p N 7 B 9 K 1 M n k R V D 0 H a Z 0 S P / 7 x j / X f u F R U V M r w c F A G B g b n m 7 i A m p o a + f 7 3 v y / / + l / / 3 9 L b 2 2 f N P c L h i P z w h z + U 1 t Z W 6 e n p k a d P n 5 p H 8 M / / / M / k 4 s V L M j g 4 q N / t s b S k 6 e l p K 2 w s K S m 1 r r Q t L S 1 K J H 7 p 7 e u z A k W I L j w X l j / + p / + 5 t L e 1 y x d f X L J d P E h F O X j g g J w 9 e 1 Z + 9 r O f W b f Z P X v 2 m P e R H T n 6 9 F r G J 8 a t N + D x 4 8 f t u H / y J / / F l l P i O Q H 1 D X 4 J w 5 t S T Z 9 U P B J U q X 1 y J 9 a 6 0 U u A d h l t w x u 8 3 a w N T 1 M S f 2 d n h 8 z O z l j n 1 6 G h Q T l 8 + I i 8 8 8 4 7 8 9 W 8 e P J w T v z i F 7 8 w p 0 R j Y 4 M 1 e i k v L 1 c u E 7 X F j a T K U 9 W Q E g 0 I h c V O x y O I D 4 l S W l o i t b V 1 V t l L R 1 o k D A N E 4 0 u O h f e P v u k O D h 4 8 K E W F R f J 7 P / h B U q 1 U B l B Q K D / 4 3 R 9 Y H d Y B J T K I t 0 S P + 9 3 v f l d q a 2 r n j 7 u F 5 w T z 5 C 1 o D 6 P T P q k p i V t a E 8 H X d M A 2 w k m R D k U p q o 3 X K 8 t 9 J d B l v S y y d p s 7 t g / E k R o J Z 0 T C n a 7 i W 3 V m C A t 2 h S c P N X F O J Q 6 S B 1 v L q z b q 1 x f h s 8 8 + l U 8 + + U T + x b / 4 r 2 3 7 G 8 / X 5 + H 9 X T p s S a i N R 5 7 O f 7 W H c J j v V C Z C O q T K m A m o R l P n k W 7 e v u 6 b B b 6 f / + z f x h 2 b p 6 C w U N 5 8 M 9 H L L T E I 7 o G I m 2 T g u w s D t P A 5 0 o E O t K l + h y q I I 4 P B x e O X 6 2 p m C U F A E + 5 f e J H O + Z A t M Y E t g t o Y s H v h 8 J z f G r Y k O 8 c t A t X Y Z M 6 s F G 7 C 8 q p 7 D j Z j u p r f p I e u W H u 4 O A l E A J F A R G x q n W i I S X p R 2 D 5 D 1 Q v r g 8 8 W i I k b 9 A 5 e I j Z l z / T 4 E J M v N q c S b I E g V k N M W 9 g c o G M t b v B U x L Q W Q E R I v I r c 9 K p g J j X x q 4 K / p F h t m + S j u K j Y i I I H E o U H h A I x E b j F L n J i T j T D p N E K 8 a R E k D c d t 1 g q R q I + H f 0 s C S V J i 1 v Y h M h N e v I y b E K / J q A + F m b Y q z d v g 8 6 7 F m Q h M 1 n 5 c S M g 1 D 2 I C o c E R M X r h N G / m D p 8 s c W 5 f t Y Y Z J V w q 3 V + l W w O t g j t q 0 d 1 G q / d I m z g P G 3 G 7 a r W p I Q 6 K m I 4 z E J f G D l i U m 5 Y 6 y r 7 u z K 7 x + C i x Z g / o V d A T J t P 2 L 8 8 y N P R R y X L h k 2 6 r I g N A d d R v Y k q v t M T V G R W V + 7 y F 4 q U Q m J h V 6 U C n j 5 U Q r A a Z p X K P c o k b f A 8 b c E B w 6 8 P f y R B R L a A v 5 q k 8 r T I 0 1 X M d W 0 E 3 O s s G 6 0 o 8 A d / 8 M P 3 k s + N M B o a 2 d I m L r P / 6 0 G R Y K s q y E U S L a i W n L x C c y 7 8 x V / 8 h b z 7 7 r u J H y S B p E L 1 Q 7 V j s Q 8 N B S 3 L g k 3 b / u i P / l j q a u t k 9 + 7 d w r 6 w Y + M T E g w O S W l p I p e E Q K 3 7 t R f 3 7 9 + X v / q r v 5 K 2 t j Y 7 x p / + 6 Z 9 a F s e 7 3 / y m / P N / / l / J X / / 1 X 8 v n n 3 1 m x / n k k 4 / l y p X L 9 v j 8 8 8 9 k o H 9 A / u 7 v f m o x t H A k I k + 7 e p N H 3 U I 2 q M 6 P S k W + G v 9 5 c c u 9 W x 2 e H + u D 9 8 6 t 8 w Y F H I 2 0 K U o 8 W N v I G P 6 m Q + A / + M c / e o / t 8 M E C Q e m P J 3 v F t + M b E i 3 d K b 6 S O g n o Z z d v 3 p S R k W G 5 f + e m X P r i S / n w w w / l 8 u U v 5 f 3 3 f y M D A w P y 0 U c f y a N H r X L j x g 0 L t h K 4 f f / 9 9 6 2 C 9 + L F i / K z n / 1 c f v v b D + S T j z 8 2 N f B v / / Z v J B I J y 0 9 + 8 h P z J v 6 r f / V / y c O H L f L r X / + 9 X L x w 0 U r w L 1 y 4 I H v 3 7 t F j 3 r R M C z b L p m l M V A m 4 q 6 t T v v e 9 7 8 m 5 c 2 / I c D A o / + k f / q F c u 3 Z V / t k / + x O 9 r s v y g 9 / 7 P e n s 7 J S T J 0 9 t E d Q K A c e n w + u L B J w U K + 0 / m A 1 s S x 4 a u w Q S R J U e I v 8 / / U K y U O g P + q w A A A A A S U V O R K 5 C Y I I = < / I m a g e > < / T o u r > < / T o u r s > < / V i s u a l i z a t i o n > 
</file>

<file path=customXml/item3.xml>��< ? x m l   v e r s i o n = " 1 . 0 "   e n c o d i n g = " u t f - 1 6 " ? > < T o u r   x m l n s : x s i = " h t t p : / / w w w . w 3 . o r g / 2 0 0 1 / X M L S c h e m a - i n s t a n c e "   x m l n s : x s d = " h t t p : / / w w w . w 3 . o r g / 2 0 0 1 / X M L S c h e m a "   N a m e = " T o u r   1 "   D e s c r i p t i o n = " S o m e   d e s c r i p t i o n   f o r   t h e   t o u r   g o e s   h e r e "   x m l n s = " h t t p : / / m i c r o s o f t . d a t a . v i s u a l i z a t i o n . e n g i n e . t o u r s / 1 . 0 " > < S c e n e s > < S c e n e   C u s t o m M a p G u i d = " 0 0 0 0 0 0 0 0 - 0 0 0 0 - 0 0 0 0 - 0 0 0 0 - 0 0 0 0 0 0 0 0 0 0 0 0 "   C u s t o m M a p I d = " 0 0 0 0 0 0 0 0 - 0 0 0 0 - 0 0 0 0 - 0 0 0 0 - 0 0 0 0 0 0 0 0 0 0 0 0 "   S c e n e I d = " 5 3 a e e 9 1 f - 8 3 e 9 - 4 3 1 c - 9 b 7 d - 4 9 c 0 a 1 5 7 d d 5 d " > < T r a n s i t i o n > M o v e T o < / T r a n s i t i o n > < E f f e c t > S t a t i o n < / E f f e c t > < T h e m e > O r g a n i c < / T h e m e > < T h e m e W i t h L a b e l > f a l s e < / T h e m e W i t h L a b e l > < F l a t M o d e E n a b l e d > t r u e < / F l a t M o d e E n a b l e d > < D u r a t i o n > 1 0 0 0 0 0 0 0 0 < / D u r a t i o n > < T r a n s i t i o n D u r a t i o n > 3 0 0 0 0 0 0 0 < / T r a n s i t i o n D u r a t i o n > < S p e e d > 0 . 5 < / S p e e d > < F r a m e > < C a m e r a > < L a t i t u d e > 2 0 . 4 2 5 1 0 8 1 8 8 5 6 1 3 5 7 < / L a t i t u d e > < L o n g i t u d e > 9 3 . 6 6 2 1 1 0 1 0 0 1 3 9 5 1 5 < / L o n g i t u d e > < R o t a t i o n > 0 < / R o t a t i o n > < P i v o t A n g l e > 0 < / P i v o t A n g l e > < D i s t a n c e > 2 . 3 4 3 7 5 < / D i s t a n c e > < / C a m e r a > < I m a g e > i V B O R w 0 K G g o A A A A N S U h E U g A A A N Q A A A B 1 C A Y A A A A 2 n s 9 T A A A A A X N S R 0 I A r s 4 c 6 Q A A A A R n Q U 1 B A A C x j w v 8 Y Q U A A A A J c E h Z c w A A A 2 A A A A N g A b T C 1 p 0 A A E o 6 S U R B V H h e 7 b 1 p k N z 3 e e f 3 d P f c 9 3 1 h c J / E D R A g Q Z A U K a + 0 i t 5 s J V I s b 2 X j S I 5 j Z 2 u d F 6 n s J u X Y V Q n L 7 + K k U q m 8 i F z r p C q V L W V t e T d b k h L J o i j e A E j c N w Y Y H H P f P f d M z 0 x f e T 5 P 9 3 / m P / / p 7 u m 5 w A E x X 7 I x f f 6 P 3 + / 3 3 M f P 9 7 e / + i g u C p 8 + a g u i E v D z T C Q c E R m a j k h s Y k A m J i c l M h e W u b k 5 m Z q e l r N n X 5 X h k V G 5 c e 2 G f P s 7 3 5 K 8 3 F z 7 j R v h c F h u 3 b o j p 0 6 d k E A g I M H B Q a m u r b X P x k Z H 9 I R + K S 8 v t 9 f h 8 J z k 5 u b Z c z A 5 O S F F h U X i 1 9 8 5 i M d j + r t R q a i s S r 6 T Q E i v J y 8 / T 8 + R I 6 H Q t J 2 n e c f O 5 K d L E R w a k u q a G o l G o z I + M a H n z Z G H L Y / E 7 w 9 I f X 2 d + H w + a W x s S H 5 7 M U I z M 3 L n 9 j 1 p b 2 + X N 9 9 6 Q w r y C 6 S q q l K G h 0 e k p e W h X t + Y f O f f + 7 Y e y 2 / f j 8 f j M j o y o u e K S E 1 t n b 0 X 0 X E Z G x u V k t J S + 7 y g o N D e B 0 M D / V J T V 5 9 8 l R o z o Z A U F C 7 8 Z j U Y C v k k H N f 7 L I o l 3 1 m K i f F x u 0 b G I x 2 m p q a k u L g 4 + W p 5 x G K x + b F J h d 7 p h c 9 8 u i r 1 E h e D l Z r + c r J G q v t 2 n 3 s t 8 P 3 Z e / 9 j / F v v n J a c L I 8 X H B 6 W y Y l J K S k p l o q K C i O W d A g G h 6 W 9 r V 2 O H T t i r 0 O 6 G M q U i P p 6 u q W h a Z u 9 B y C K w q I i e z 4 + N q Y T N W m L p q y s 3 I i v r L x C 4 j o Z A V 3 8 f i V E M D Q 4 Y J N d X Z M g U s A C 5 X v 6 Q d q J g z B 9 e o y 7 d + 9 J f k G B n q N U a q q r M 9 6 H G x D i m C 4 2 G E Z / 7 4 B e d 6 E x h A M H D 8 j j 1 s d S 3 1 A v l T o u 0 9 N T E o 1 E p F T v A U A s E X 1 d W V V t 5 3 U w q U T N w g X e B R d W B p a b t 8 B o H I z q m B Q X l y g z W M r I l s P U n M j g W E j y l R D S E d R w c M i u M x M x g a G B A S l X h j K n z L Y g P 3 / Z M W R u m e d 0 1 x 1 U Q p 9 T K v L F 4 t J Q E h f 9 I / 2 h 9 V n o b n j v e 0 6 F R 3 B u f c 4 T + N 1 / / 7 v v V V V V S E 5 O T v K t z M j J C U h f b 5 / s 3 L k z I 7 d h c T P Q O U o E I 8 q R a 1 Q q I E F m l M t X 1 9 X K 8 F B Q F 3 9 U 8 v L y k 9 + d t Q U Y 1 f c q l I C K i o r t + E w A f 5 m s W f 1 t j k 7 G k E o h O D 7 f c Y A U Q M r 4 9 L s s h L 7 e n v m F 6 i A S C Z s k A 1 G d r U m V v D u 2 b 8 + a m I B d k x J 7 v i 7 0 Y m U q L P h d O 3 f Y + 9 z j i D K c g f 4 + l X Y N k q 8 S z E G R E k B J a d m S c c 7 T h e h g U I m u u K Q k + U o J T I n X f W 3 B o U E j w P K K S l u U M B t H w s F g i p a R F j r M t n D i j F U 8 I K U L l z c P i J 5 r y E R M M M a r V 6 7 J o M 4 h Y + F X r e b 2 r b t 6 / i K 7 3 n T j C S M Z H R m 2 e e J 6 m Q / u x 7 n u I q W z 0 t y 4 F O t f T j 8 0 K V J Z E J d Q 1 C e l / p j M 6 M L 3 J T W o t Y B z u M E h J y N r P y 7 w j 4 2 N L 1 K t l k N u T q 4 S x W z y V X r A y Z 8 9 e 6 a c r l L 2 7 N 5 t 7 6 G u M d j K g 0 z t K i 4 p 1 Q E d V 6 L K 0 w W a P y + V I B r e 9 8 L h 1 i x k u L k b q F Z u 1 D c 0 J p 8 t I K w E 7 m C g v 9 + I A q J a D V j Q 5 W V l U l t T n X w n g a a m J h k a G j U m k S 3 m Z h P j W a 6 S z Q 2 3 d J p W 9 Q q p U a e E 6 h A l h A U m d K y Q 1 K h p m d C n 3 H 4 8 O C I l h Q X S t P h U 8 + D Y L P p 0 m J 2 d k 1 s 3 b 8 u 5 N 1 6 X 1 1 4 7 I w 3 1 9 c Y A X 3 / 9 r I 3 J x Y t f m G q c D l x n g R J W Q 2 O T r Q c Y o B c O L c d U b Y o m h 7 F E i b 8 i L / s x z R a o e o z L e i A S j o v / 1 b O n V T 2 Z T r 6 1 P K 4 o Z z p w Y H / y V X p A O B P j k 2 Z 3 d X Z 2 S U d H h x E B 6 l F E O a Q D i M q g o 4 i U c l C g k g n V Y z g Y N G k D 9 + a Y p h 6 q f Q V 3 R h I 4 c K t + A A 4 L 9 + N 3 D u C I c E Y W I A t j 7 9 4 9 8 3 b c e u L o 8 S O m G m e L G S W o / r 7 e + X l Q x X U J w 0 A C 8 v A C m 6 p E x 5 D 7 L V U C d 9 + v G / e f B e 3 v w e 3 l U p X Q r h c B y T S u m s S U 2 q 9 e O 9 U N N J S 6 u j o 7 L 9 o H 1 w r s / C r Z z p 1 7 T Z 4 + f W b v Z Q L z l 1 D 1 0 9 u D 9 Y U x K X R p h w 6 h r R V D E 4 m / 0 d Q a 7 6 q R k + u T w H / y + / / k v d D 0 j O r k S 0 f Z p / a G 9 y 5 K S 0 u M S O B S v b 2 9 O v F x k 0 a o b p g 3 c X 3 N 4 F 6 9 e t 1 U o c m J K a m t r b H P 7 9 + 9 K 3 v 3 7 b O F A Q d n 8 t G r Z 1 Q V Z D E x o d h L Y E T V C Z w Y q H y o b t g M w N G / I S p U k 6 7 O D h k f H 7 P v h H V R u N U N 1 C l U I m c h T u i 5 M P o v f H 5 R T p 4 6 o S r Z g r q 1 n s B J c + f 2 X Z V W j T Y W 6 Y A t h P q E L Y o + V p 6 8 9 1 g k a s y F n 2 L v D a o 0 L a 9 M S C M v u n t 6 T N 0 q K V O b S h e 7 Y 7 P N z q p 6 r N I m r F M 4 o B y 4 U K V 6 O p u J c + E U Q i V j n j K B s Z w N z 9 q x c c o 4 8 + 2 A 9 9 u f d c i 2 b U 3 J d 5 b C s d G Y S 7 c z K h 0 m w 0 q s q q a F 1 P 4 L r 4 d X Q s e 6 R G 8 T V j C 1 T q q e A 9 8 H v / l V / M b 1 m / K 6 c p Z s M K a L s q O j S w 4 f P m S L F 2 I a G R 2 V O z q p e M z g / L W 1 1 U p 4 Z b J 7 z 6 7 k r 1 B L J m Q o O C z b m 7 f Z o I O Z m Z A t 8 l p V Y 9 y A O 2 O L o B Z m A t + 7 r Q u X + Y y E o 2 a j o S a d f v W U L q 4 F W 2 V k O G g T 6 A D v F E 6 J X b t 3 S b 1 y 2 4 0 A D A J 1 u r y i X A K 6 C L 3 E i 3 R F q j o M A B W 0 S J k H h F B V X b N o k a Z D / 8 C A / R 6 n C m p W T 0 + v q Y 8 Q c q k y m O H p u K q f I 1 L f W C u V + Q v q E s y s X 5 l h g U q H g N o z S L Z s w d j N h c P m e P E C R w x 2 7 Y D a u K j x F S m k P 8 y Y z 7 K F 4 6 i o y Y + Z 8 2 A 8 u n b 1 L K C i q V b 5 8 3 q p e m 4 E 3 n 3 3 n f d 6 e / t V N 6 / N i m N j 3 3 R 3 d R s H Y t L h W C y E 3 b o 4 d 6 h E 2 q k P V I J 8 1 d P d 7 n S I C F X v u h J v s U 4 k E w / R Q Q A 4 G 9 z 2 Q k g n B u k D J 8 M l P q y E 6 D W 4 m Z h 7 9 + 7 L w U M H p F m J l E X E + e v q 6 + S i S q C K y g r 7 7 R d f X F Y J N i H X r t 4 w o u Z 7 S I U d O 7 b L g w c P 7 b c b A b g v N i T q z + P W p 2 o z 1 M m Y S t I 7 d + 6 J X 2 L m 5 X S r c N w v Y 4 C U c N 5 H n e K a l e / p + C 2 1 c 1 v 0 + l F b m Q c Y S J V K s e q a K n n 2 p M 3 G I S c e l v q a M i l c 7 A d R z W B A i a z R p P d K p D S E e P v 2 H b O J U x E 8 0 g Y m h 4 3 U p W u k W g n d j c 6 O d q l y M b b l g J d v P J w Y i 9 m o T y o L 4 y a t 1 o q Y j u e U H m 8 j E P i j P / r D 9 w 7 p o p y c n D I 1 D p 0 W o n G r T m 7 A 5 4 K D Q + Y e T j W o L A Y e 3 t g U 7 x G z Y M B Z O B B h c B i X e K k e b 2 C e S + I y R 7 3 j + x A R H i E W 2 c j w k I y q p A n N z E l A F 8 8 1 V S l P n z 6 1 h N t x 3 b V 1 a q B P T s p 9 J b j j J 4 4 r o W 2 X / Q f 2 q V p Y o u r R H T 2 3 E v R c W J q 3 N 9 v C 3 y i w o B p 0 n H b t 3 m n q a E 5 O r u z a t V O v / e Y i 6 e 2 A 8 Y S J M D 7 E u t q e t u t 8 F O u 8 3 J L u 7 h 4 l g v p F 8 1 K o T I u 4 I G P p g G M 8 a H l k k p G 5 R H u w U I e O B 5 / Z e O m 0 Z Z I S z B H E 4 5 3 f S Z 0 b 4 o M l S v z p g A 2 G c 2 l 0 Z F S J Z 7 E t R h h g O U + k G 5 z e I a C y H F 0 3 e u s T U 3 p d g a X r L l v k c G / r 4 C l M B 9 + n n / x 2 X h d o a 2 s 3 I / 3 h w 0 d y 9 O j h J Q P H I L O Q j 5 8 4 t i K x 7 U Z E V U T c w W M q N W I q s e 7 c v q + L r F l 2 K t e D y / Z 2 d x n 3 T k W s 4 X B E L l + + Y s S G H v z G + X P J T 7 J H q o X y v I F K N D g w q G r z K + Y M Q H o 7 1 w T x h F V 9 R f J i r z o g 7 n X 3 z l 1 V j + v U 1 h x X D W G b H W P 7 9 m 2 L 4 l q A e 0 S y P d P 5 3 K c S D I m B d j A c H J F e t b m O H j u a c v 7 s H K o K s w a 6 u 3 v V 3 t 2 t j D F P a m q q T S N o b X 0 s O 5 U h l G R B F E N D Q 2 b / F r u I H X i D + M v B C b i W K 0 E V 6 c + Q W h s R m 1 o v J A k K m l p Y Z H i d f v 2 r 9 8 3 G 2 L l r h y 7 8 m M V 5 x s c n d S J R F V I E M F Y J 8 y 7 p 5 K O S 7 d c J 3 K W E h f 3 h 5 r o O B n W S m G w 4 K A S 1 n t f x v D E y M i L 3 7 j 6 w v 2 R X E J 8 j C 4 O / 5 8 6 / v m Q h O m D R Q 3 y o r a h r K 2 V s s 0 o Y e F y 3 N T X N j z H j 3 a M S s L 2 9 U 7 7 x z l s m t b G N e W C j 4 n j I y 8 + V I 8 p k c 5 J x v F R w g u Y A W / r m j V t 6 f b m y d / 9 e Y w 6 E S 9 Z K U G C 9 s h o 2 A r 6 P P n o / P q L i m Y m B 8 6 B C P H r Y K k e O J L g n h j X Z B E z i l 1 9 c k T O v n Z F y f Z 0 N f L E 5 F a / Z D d 5 v 3 v + t v P W N 8 1 K o e j 2 u 8 g q 1 B 0 w S u Y B D h E n 2 q h I v K h x J c v n L q 6 a m s m B x Y G y 0 B J 1 W Y i T b B S k y o X 9 R h 4 m p e d V 8 x p s 5 w M G R D U i p c j y V A M a H R g L x w y j C + q h v a D C T A k a y 3 D y O T q s 9 r R Y n w I U + G P K Z / b O Z E T h 0 8 O B 7 O T q Q 6 O P E i y Z U F S P O B P d 3 A r 6 P H z 0 2 L s Z k 7 / H o / g 7 R M f h w T P e k 2 K 0 n O d Z y 6 O 3 p M 8 c G i w k d H F v K M Z h j y v k S H P y u 7 N u 3 d 8 M X 3 P M C 9 g 1 O C z y s q N v k E m 6 k T e e A c 2 D P 1 t b W m l M m k e 2 w d J 6 Q T t h 8 2 Y w 3 z M G d l w j 4 H e u B t C T W C U F c b G X e 5 x r w d L J u I N h U 5 8 h V Y e i 4 t c v y l P k k H R S b G Y H / / r / 7 8 / f g F B A Q s Z w H 9 1 v M U 9 f X 1 y 8 P 7 r U o l 4 n K s e N H b S A 6 2 j u k Q 4 m O C U B S 4 M h 4 2 P J Q e n v 7 d O B 3 y M W L X 6 p a O G 6 G u C F L Y k L F 7 F G d f f u O Z h t Y E l y R U M 7 z 8 d E x n Y A c 8 1 z 1 q 9 1 Q q N f q u N 4 3 C q 9 c + y 9 l s u K I R H L X P / A L 4 N 4 t a q u e P J l I H i Y h l 9 g d 4 1 d e v j R F 6 X k D T Q W b F q a K z Y v D C q d O K q 8 g 9 h n u 9 0 x A K n V 2 d B o R 4 z A i I R l X P + l L 2 7 c 3 J 7 + l q q K + Z 7 m c O s d u W 2 l 4 P C 6 B 3 M 3 P S B c 5 J W 7 d u q 1 6 d b E F + q q r q 5 R j L n j y m O g B X c y 4 m 0 G v E h z f I X 2 H w f f r 9 + A 0 v / r l r + U 7 3 / 3 2 s g P s 4 N G j V v P q l Z Q U m X 3 k Y F j V k U B O w I j c M s m n p 8 w w 7 u 0 j 9 p K j R F u X t S q y G Q F B P V L J j 4 f V A e / B X G 7 e u C n n z 7 + R f P e r A R K l s 6 v L 8 h P v 3 3 t g F Q Y 4 J X C G k B j t A J v O 7 V T J B F z p r C M Y y P 7 9 + y Q c C e u x W 6 w i w Q G x y W k l u N l C Z c q u Q 1 b m x m T k B Z B Q 8 w T F Y r 1 4 4 Z K 8 + 8 1 3 7 A M v r l 6 5 L q + e O Z V y 4 D g A 6 h j B X j K x Q X U W d k 7 / t E / u 3 W m R V 4 6 9 k j a K H w w O K e E m A r x T O t D E a 1 A v i G e 9 + u o p 8 / q g W 8 f n 4 l K i G g c R 8 K 8 K e l k 6 P s k X K T C k 9 / L k 8 T M L e O I c q K y s W M S d H e B 8 C U 0 n Y m W r x U r s 1 2 w A g c 0 q s b e o Z D l 9 + u T 8 O h j R e y L x 1 + t p z A Y Q a K k x 0 g r z C B L M r 9 R 1 k y r 7 u 0 I J a n x O b a g s C P e r R O C t t 9 5 8 r + V B i / T 1 9 y t 3 m N V J b D Y O 4 g Y i 2 h / w S 0 V F a v W H W 8 R R M a Y G 9 v V r N 6 R f p V d p 4 x 4 L y o 2 H V P / V R c 7 C Z y y 6 x 5 Q w Y n 6 L L 8 T 1 l 7 V V 1 R I b J d 6 S y F Q G Z A s w Y R a L c n m 7 U D P 5 D v Z c / 6 B y u s p G 0 7 E 5 j g Q S E f W x i b i U Z S g X g v j 7 p v 0 S C o t l N a 8 V e J y 4 F 3 v o t c w / 1 4 c 3 q / m m q k 1 v v P G 6 1 V B B T O m M c j x 8 H e 2 d Z l O t F j m R a Y k F 1 s 5 d i D 3 d v X v f a r 7 K K 8 o s H t b Y 1 G j 2 N G D e m K / V h F H u 6 X G P H D 0 y b z d i S o C B m a W S q C g n L t O 6 b j Y 7 f O + / / 8 v 4 i d v / j f z v M z + Q M 2 d e l R v X b 8 g h l T S R c M Q 4 C C U V x E R q 6 + p M r X N Q 3 f + h B O u / q c 8 S 7 + E p R J c m E I v B O x J d y r H w 1 H h j C A W + u E X A H Z D Q i m u V I C h q 3 8 4 9 e 5 K f J G C Z 2 T n 5 E p x N P b j F / p i U p W G W M R U h o 0 r g s x K Q P C W t 6 q L F C 3 4 l c A g T p J O u b i B V H 7 W 2 y s E D C y p e J l A e c U b V r K 8 S a C 3 t a j e T g Y J q z 1 1 H I t F 5 + w 7 v H b a O T 9 c F h Z P Y S d k C p g i j 9 q Z + p Y s z R S N q Q + U s r L / N i s D u X b v e u z x z S I 4 f P 2 p G a N O 2 J p M C 5 G s 1 N T a a r g t n x R v k 9 g R F c 0 r 0 s a B L Q 0 y f f f K 5 p S R N 5 y 7 O 8 y r 2 x a R G F y / 0 C O c G 4 0 q A B Y U F U u t Z 1 K T Y m A q h x i + O C d Q A n j N p Y H J y W s Y l v Q i q K k i c x w G x k Y n J C b l x 4 5 b c e z I k k 7 F S K S / N l / r i 1 R M T 4 B T c S 1 1 B z O p p 0 g F C m p y a M u l P K l S 6 + J I b 5 M u R 5 V B i C c s Z D r 5 B w K U d H A 5 a m h Q 2 H k 6 g B B Y X b n J l z I s z N 3 j t W D u Z P J U 4 s v j O z R u 3 z a v r a C U A l T l d 0 J a a q x c B v r / 5 / z 6 M k 4 T f f v + q e X Q I w I 2 o e B / W h b x f u e m + f X v M 6 R A c C h q x u A f A C 1 M N f X 4 Z E w r U k m 8 m k U N C Y q l I + 7 B I X o F f D f C 4 b C t J L O r u z k 5 L b E U K 8 k N 3 L M M B y a O V V T U y F F 4 6 W U x E U / F S K U G M p 6 u r x + w U D G n U s 5 6 + K R n o 7 Z E 3 T + 2 W s q L U k 5 c t B l U 1 Y Z 6 r 8 1 N L q I G B A X n w 4 J G c P H X c K o k Z u 2 w d K f z 2 4 c N W W 8 C N j f X G 6 M j u 3 g g Q W L 9 9 8 4 5 5 W Y u K C 6 3 s Z i E 8 k n 4 h E 8 p I H V y P C 8 k A 3 j o 7 0 q k 6 O 7 u N k C g k p b j T j U w B 2 6 q 8 m A y n q a q d m 4 0 p s 1 r b X K 4 X 5 n t K l E T H L d + s S n V 7 w G L E 4 1 R b U y O z v f d l I r f e 1 J B 3 f + c d i y s 4 g A M 7 4 h 5 O l W 5 Q 8 l S 1 w 8 b x I q C D X 6 d S i j o l b C Q r l J s Y V x t j w b 7 A + 8 X C m k j a J m 7 k 6 W e 5 e Y m y a W 8 F K g u F a 6 J O B z j X F o n E p L f l i q m 4 b o 6 7 3 u C 6 K b h 7 6 6 3 z y X d W B + J w h B V G R 0 c t L p Q p l 2 4 1 4 B r f O P + 6 E Q H O h 1 S u 8 V T I 5 O F j T Z B z 6 f 7 s m t r X J 0 8 e T 8 m U M x E T Q K 0 e C f l k J s U a 2 k y Y v 4 t o o F i e P X m W q L b U C Y S T o s J B M P m 1 e y y f C y 5 P q c f o 2 L j 1 i 2 D B X r 1 6 T Q b 1 + b 1 7 D + T y v e 7 k 0 Z Y i F T G B q H J A B h P b i c n B f q q o q L S q U Q o L O 9 v a r G 6 I 2 q n Z 0 T 6 J K D d y Y 0 4 J g k L c V O X c X j T o p O A t q l d N 9 c S J E + a Z Z A F N T 4 d M L c M A R 9 1 a L 0 C s q T n 4 y o D U R + V + 5 Z V D 1 v i G O V l P H D 1 2 R F o f P b a F n i 0 x A V Q 7 C I Y x 9 A I G C 1 E 5 B Y h U H D d u a 5 b Q 3 F J p 3 j u W f L I M s L V r V c W e C y 1 v s 3 5 V C P z u f / y j 9 3 g S U d o q r W 2 S e 9 e v y b b m R r l / / 6 H M q t 6 P u h S J U T 6 g h q j S h K P 3 F h T k q 6 E Y V d V g t 6 m J N b W 1 E i h Z q q p l i 4 j a Y 2 M D v f L 0 a Z t l J R c m I / m U w l P q j R q I C l F R l L s k 9 R 5 X q t e j B n B N M + E J g z q h v J C x H F A 2 g q 0 G g y A T G 0 n C g 3 s k 7 Q r m k U m 1 d U A K D 1 n V e C J Z 5 M 7 D z Z W n p q d M Q m Z z v O V g B K p 2 J x 6 2 T H b K S o C a 3 t 7 W o b b y 3 j V c I 2 O / Y E s 5 4 H i J A k R 9 r m N L l W 5 + o d r e M b W z k n H r A W W m 8 W W y x 3 E 0 5 S e / j 4 p d o a b l j D L R W A Z 1 9 K v C v M r n I D Q T k Y 4 7 X 6 j e X q O P R r n y 5 V V 5 9 5 v f 0 I G f U j 3 7 t p x 9 / Y z L S F 1 A c M Y n c 0 p 4 a w X 2 X H V B 1 F J S S B a 1 U g x 9 f l x V B Y 5 O v C O d e u C o j w 7 c K h + S h + w P M j q c R i 2 p g O f q w u e X 5 F v f / p 3 k O w v g M 4 K x A a V I s q 7 7 + w a k q a l B m U + L q s F 5 u s j z J D Q 7 I 8 P j E a k u y 7 E c u V t q f N N / w b v Y V g s I / 8 r l q + L T a + C + K I e g v s x R X X E 9 Q 3 Q k o n q B t K B s x Q h A / 4 c h I J n O v v Z q y u 8 v B 6 4 F 2 5 f q a Z 5 z f H q O e I G t 9 f d / / x u z k f e c T A S s c 1 W 9 D M P Z l k F D o Z K N 6 9 I G p n 2 m 1 W x W + H 7 7 4 Q f x o d n U n O n p j Q t S V l 5 m t U 3 B o W G L N 7 z 1 j b f M G + i A g R w e G Z G 5 g u y q T L O B 4 4 b G 0 w h H w k N 2 W R f R O + + 8 Z c R A L M u f u 3 Q y f N G w 9 D 6 + a y r c i Z P H 7 N q 4 J t z 9 e C q p i 8 I W Q Z 0 l C J 0 O l y 5 9 a f E i N 7 D v 7 t 6 5 J z V 1 N e b 9 p G g R A p t P s 1 I 4 h M 7 1 o w b 1 9 w + Y J K l T p r C e I P O f c S A t D O d O Y j E D k m 2 n p F s N / z 1 7 d w n N b F A X + Z y w B n m D t C N g m g h v k O n i j v O l A n Y S 9 + D U q T l 2 E + 0 K n C Y x D j i P 2 y Y l E I y W 0 K Z a R 1 H D f u k P h m T P r u w L D N 2 O C L V C p L E k N h + q 2 K y Y z 5 S Y V T X Y 6 0 X p 7 V K O X q t 2 j X K 1 I 7 H r 0 l X 5 T Y t N 0 X a M B F Z S h T 7 + 6 F M 5 f u K o x S w C l U s j + 4 j 8 q v y 4 F C Q Z V / d E g u j 8 G c R 8 f K z b D G S n m h Y O x / G x 0 0 j c J S V p Y K Z A C W O x + / z B j Z v y z r k j F o R G a j Q 3 U 1 X s N z W O r A q H 4 P / f X / z S S i Z Q S V I 5 J c h N Z D G W W T 2 S z 9 T C + 3 c f q H T M N 0 L M z c t V N T J h a + S H u m W 2 M H G d e q v G A H A N k x N Z q e P k d Q 2 v B Y 6 t w v G 4 F x i c u 1 W Z A z x o M C E q q / t 6 + 6 2 E g h 4 a 2 d p z j D X g + F R V A y S 8 0 9 R y T u 1 c 6 q T S 4 c m T p x Z n c n J E C W T 3 h V Y + B m G 1 l Q L 5 F K w m 3 3 g B 4 P v 4 4 9 / O F z C S P T D q y p f y R W J S 7 J t U L j M r g w N D M q a S a J f a T C R J h k I z l g r U 9 q z N s q V n 4 4 X G J W m k S N P M u P 5 T o r p v O m d B K g I G l T l q y E b n 7 P h k X V B d S 5 3 O q d M n d I G Q Q L v N F v S u X b t S c i t H u r G o y G C H i 8 P N 3 U 1 D I B D s B m z E 0 2 d O z d t Y D l h Q z 5 S b k x 3 Q p E S J G l N Z W S k P H j w w C U d W w J t v n 1 8 S U 0 I i D e i D O M 7 b K s n X S 2 I D H D M 4 a 9 y g w y 4 d j 5 a D 1 6 7 L B C c b Z Q H M a u K 3 X j c 5 v h H v Y e m Z 2 K M M i d L 8 G S X I K l q F 6 Z e W 8 + K l Q 6 p z b G a Y D e V X U V 2 f 9 M S O h J Q T x n 0 S 0 U F 0 C A I p 9 P q 5 s x L 2 F V p / g q E 0 8 Q A Q m 4 t J Y 3 m C U 6 8 V F y 5 c l D f f P G + G M 4 u V 6 l M 3 I C i m 2 4 1 s s h Y c o I 7 Q z 4 8 k 4 F S A y 1 6 5 f M 3 K y S G e U b X l D h 7 c L 6 2 P n 8 q s E v y 5 N 1 5 L X J v a Z n S N 6 u n p l 7 N n T y d / v X 6 g 3 R Y N V V L Z O X h H r e N T U j V b K 6 z N W y R q t h i Z 3 3 S O w s N K P 0 B s J K 6 B R e 4 0 O H E z M F K J S K Z t V L v S u V b m Z 7 V q W r 7 E r O V Z 3 5 T O 8 w t C V O b l i y s L o J e 5 a l m W L 6 V z Y y o Z r u 7 O 1 h Y 5 c G i / l B L w m / X L p C e f S m n R g q p 4 2 X i Q 9 r O e H K X 1 0 R M p L C o w P X x 7 M l k U C Y I e T 1 z K C y R f n j L Y b A i a O j C 8 i h R Q p l q M c G v S l V B 3 s D d Q H U v V p k Q V h Q N T z 4 Q U 2 6 m 2 G Q 6 J n X p 9 6 y m V H H B t 6 Z w G L H h H A q 3 l 3 D T J 5 P d I X / 6 i C i O p s N e Q U J a t o v 8 N j 0 3 J W C w h p X z R R D u u 4 J Q u + j 6 V S r t 3 6 P h U m M 0 K 0 Q 2 E f G u q Y W I d s p 5 K 8 t a n O c v z w L z b H M 9 J d b K r j N u + y S 2 p k j q 9 q 7 y 5 I c k v K l 5 y Y y z c 6 Z m 4 F G c R v k j V 5 y 8 T a O 1 L 3 Q w E R G U p 2 R u 0 g a Z 9 F h n o M / G l 3 r q I q p w k 4 2 Z 7 G h J Q K U u Z D k 2 b 3 e Q s X O w V P H o Q U k 1 t t X F r u C 3 X g g v 4 0 a N H d m 1 0 T 6 U s 3 F m I G w W I B q Q 6 B + / x 6 O n u s r o 1 J A m g 9 7 j T z x D A I N w 2 I 8 f E S 8 e 9 k s X v q H r Y T h A x T g Y + s 8 Y q n F / P 4 R A T I F g / F v F L V N / P L S 6 T U C x H 1 b z E W p i N q m R d Y 8 u v a D g u 5 W o m c z c v C k E t u m O 4 u x f E a 9 q D u p D y 6 6 w k O Y B I c o G b 9 b y V F p W D n 0 t x + y + T r 5 Y H t g s 5 b Y c P H 1 Y D v 9 I m n J 5 7 c 2 r 7 B M O p j W J / n k 8 G k p 1 B s w X 2 F S 7 o y 1 9 e M d U J I A H p n 0 F 3 V O y A H T t 2 y H d 2 h a x 0 g f b L Z 8 + e s Y x x p J S z 2 N c T X E d o J j R P H A 7 R o I Y C A q U j I 8 O W L O x c c 9 O 2 5 o R D g b W v / 9 W 4 E k + p M 6 J E 3 Q 2 8 c N S / 4 f Z 2 Q C 2 c 8 5 r x N h V Q J R F O B a / q N p e i g B T t A B Q o r y v N y X J h p E F D s r i h a + T F I C a w E I f i 3 j M w l O J A T K a U 4 5 B G b 0 E 1 n V z A Y q p W k Z y / d v U 9 J W j 9 z C J 2 G 8 o s o N 7 R W e O K q W B u a 1 V V 6 O d H h S 8 R e 6 q O M z U Y A X D k x 6 1 P r E 1 V Q 0 O D S R 2 y K c 6 c O W 2 c m k Y y j U 3 1 R l x g V h d p a J a m I z l q Y y 0 k C q 8 V L O r l O r h 6 n Q f u z G 8 H O G R w j w P m i X t w V F v H 9 q K a A I n r A M L z l r K D b J w K U b W f m 8 r j p v I x b 2 R g j M Y y u + U z w b H P V u v Q + C r g 5 6 I J n m U i J l C q R M N 3 p y O L i 7 x m Q 3 E Z X u d K S l y + q H i k A 9 X U V F l O o R s s i q b q 9 A t 4 f G J c P v / 0 o r l t a T Z z 5 M h h S 5 X 6 7 N M L M j S U 6 P G d C q h D z T u a T c 3 D o 4 W a h x M C K U Q T m e M n j 1 k 8 B 2 B X z c y F 7 T c c e z 2 B P c b i z w Q 3 M Q G c C B A T U s 0 B C c 0 A 7 y y f M W 4 0 u S R o D j E B Y n 1 u Q E y O x A O 0 y o Z 4 m X t C I A B V L x U C e X 5 5 0 D U h 9 9 p H r c K X B A B K d l Y D h 5 h e N A T + w f d + 9 F 5 5 A b b T M k S h Y 4 h m M + P J h q B B u o E x V g 6 f k 7 S / U B / T 7 T k 1 p y r E x P i Y x Y u I + b A Y q P Q l + N r T 0 2 M L F G m B e 5 x M A w K x 9 F l w A y 6 I E 2 R K 7 T e v B y I i O b J n e 9 1 8 2 Q e L j 4 5 O 9 M q g v u f J Y z q 5 1 i + y J w D x E 9 K e y s w O E Z N W X N f Q 4 J C c O / + a H a + n p 8 8 W X N u z d q u q R U 3 E w 0 d M z t K z 1 g F c M 1 6 z b N s I M C 9 4 3 R g P 1 G S S a T l G c X G h f U b M E O B 6 Z 3 c T d z C X c X Z f N / f m S D E a 9 h D Y d 8 a p S L 8 W U h u p V n k Z 5 2 J + Z z x p Y D i Q C v W 8 f A 7 0 M r K 2 f / B / B J R Y 6 5 O l P i C s t t j 0 B n V 5 3 Q g s S T 1 a K 2 r y o j q p C 3 G H A p 3 c y q Q w c d 4 L R O Y k N N J t E 0 0 5 O J k W / E V l + U w l y 9 F j h y 0 Y C F B V U B / g e C y S V I B x T s 7 5 T B 1 V k 2 9 Z k A T b 2 d G l 0 u f A / G J B C t 5 F v X M V 9 X F u 7 z n p g Q H B O T Y d 9 c K k 8 1 C S / + a b q + s D Y d 5 E X d g s Z m e x I x n Y n C 5 b 4 K F l H M h V d H D y w j + W O 6 / / H x K c m L P a M u d + x l X i l i V 7 k 7 t 7 6 Q E 6 z J L N j n 2 V K V E 2 k x o W V 4 b Z W L J A F K n C G 1 7 g r 2 o q W S q V X i R 1 D 6 z 7 1 Q 7 N B R Y N w o x O F q / d 7 z 1 t u W t 5 g l R r M m m N a q 8 4 K g s e R o e Y A O + x A + J H H 3 4 y r 2 5 5 g Y A q y 8 + O m E B J c Y l U 1 1 S b 6 g P I m O / p 7 p Z T a q u 5 4 S U m F i Q p R 6 Q b E Q z G 7 U 7 Q m G s n 8 I u E R U 3 F f n u s U h B p m A 4 Y + 3 j Y A I S J V I C Y 2 F Q N U F q + E p A W 5 y Y m r v X m m 3 9 j R a A Q L M C J A U p d r Q z m 1 A Z 0 A 5 u K 3 z I v 3 V 2 d y X c X A N E u t 8 i x Q d 1 D V x J I n D 8 T y n O X E h O 9 J Q J 6 L S 8 S V k V Q + S q W 2 V H O x 8 1 m c b 8 9 T 1 q l 5 9 G 9 5 C u R Q 0 d P m s G f C i S e e s G C p R 8 f S Z / r B b x h A 6 r K E b R u b m 6 W P X v 2 2 M L O B A i M / o W p Q E r S w U P 7 z e t G i 2 Q K M 2 m y g r M A J w P N T A B 2 G b E d 7 C S 3 d 8 0 B K h l w 1 K 7 V Y G C g f x E z Y B c T X O F k 7 N M 9 C p v K g b P h G T V o X C e b v v F b V M 5 t z Y t T y b j u d B W 1 b h C f A v 3 j I p 1 j P p m I L h 7 X W C R u e X r Y S Y 4 N j 6 t 9 O k n b c 0 p / n a M + 2 8 E Q l / y L h H V X + V I B u n O P y + N b V + T o K 3 u X b I l C j t i z p 2 2 m i r l B j R b 9 / + h h t x 6 A A 3 / + + c X 5 w j + v J E q H k d E x W 5 j s 2 g d w Y a O m d n R 0 m t 1 3 4 s R x C z O Q n I s k G x 4 O K q G 9 Y t / N F q h + X E + 2 1 + Q F N i B e O 6 9 9 i D o J w / C + b / Y W / 3 n O x x g R 7 C V w z D U x i d Q 4 B S P L M 7 V M / R + c 7 I c B J b Y o z F O / 5 g v H p E 5 N Z I j V u 1 Z e N C z P b t Y B 3 g H a v a M h Q W V J M G E 4 J x 4 + a D V J 5 A U / b 0 i z M / t q g N f u 0 C s H V 7 R w P / 3 k M 2 l 9 9 G h R t a z Z U K p v U k V L 8 q 2 z 5 Q z 5 h 2 G 1 E 1 O 1 C F s O S M 5 s r w n X t y 3 2 J E y F 1 J + i 4 r G L h x t I v F T H H V F G k O p 9 3 i P Y y / 2 R X I s K i l a B R M F 5 k A m Z m q m M h R I q I 9 t 9 V h d A q C L 1 S W I C W d 7 6 p s V z I S g 3 R k c m z X u G z Q H w o n 3 6 6 Q X L l z t 2 / E h K t Q s p Q L 6 c B S 3 X A X j 8 u r t 6 k q + W B y 5 s 6 p 8 g Q v f O E 2 a 0 u + Q 7 K p M D M s 6 d 7 O y V g H t F L c T G W g 4 Q E 9 e G N A G o k P Q s R z V j 0 z b g f A b x e Q m H 3 1 Z V V + s t u G 4 i C Z N 0 O h d k 1 d O B i i 1 A H S z X L c o f W W o P 5 e q 1 0 t C m o F C l k K q E t C w I T u v 1 6 P 8 b s f H Z V w V / L K n v Z g I B O 3 a Q I 1 l 2 r a g M T J h N h B e J u i M W R W F B / q I + F a m w V y U X 5 R t I l + W R + Z 5 Y K G T M Z w t U u p r a G i l L l j K 4 8 c F v P r B C R n Y E J B i L Z G h 7 9 t R S m r z x s 2 x B E S U 2 F s T Q 2 9 N t a i b j 5 F 7 4 f E a a k W O L U q 8 E K q o q L Z b k A C Z E s B a C 8 G 4 E j v S B y A a U W X l B P M s d j y J j B G c L K M z J P L 5 I H y / C q m r i P G I X D Z w W M V 4 k Q y x f J / i 3 l S Y C t u n A A D S r q Y M H i c x z u h d R G W s O i R W i N N R h Q V s i 6 L h n c Y U D E l B b 1 E Z C W q X i l g D J Q M t e v F J 0 Y c q M z B M F Q b F p 3 H J A d e K a b A d F Z Q K p w G 4 k b I d K 0 i x A M r D p c 1 / f Q N r f Z A s W e 2 P T N p W E i V 0 N s X V Y 5 B A T U o z P G S 9 T z 5 I 5 e 3 z H D a Q o B E Y a U o k y B A i T f h 3 8 d e J c 7 I j h w J G y O E e Q U g 6 Q U k 6 m C T F G e n O s C C q R E J D k / n 2 d M X 9 3 6 d y T b l c s o B V Y n Y r 8 2 a F 2 i S o X Y 6 t 7 f w o p F 5 7 T 9 z z v 3 2 7 t N 8 l E K Q S G 8 5 O n z 4 z D U h 1 L A x K W w q W L l y 3 T I R 3 o X + H k s 6 0 F X B n x r V R g w Q 4 O D s p v 3 v / A z s V O h 1 5 1 y Q E F f G + 8 e c 4 W G 4 s U o L a 1 t b U Z Q a 4 3 s I V I p X K C t R R i r g Q Q J q o h f 8 k H 9 A I p C 9 F S 1 u L e b Z D 7 Z 7 M 2 Q H + H k Y m V z Q G J H + y X + 3 X H P E H V F S c k F Y / Y z M I k O a 5 M L 7 A P y E 5 H / N c n p R y P g O r P / N 1 R o e / p + 7 h I e V 1 f E J G G + i p J 7 B m r H K 6 8 X B c D O e 6 J Q W b C C J i e P / + 6 D n 4 0 b Q y H 7 7 G 3 7 F r B 9 v 9 p a M Q c J B D F P / j W 7 1 i M z F 3 m 7 g Y Z 6 r Q G 4 D h 4 w 3 q 7 E 3 E b f v u d f / g t 2 w 6 G G i q k S D r J u x q 4 9 y N O R + j p g H v c 6 U P u 9 f g 5 g G g J B A e H F k v x x q Y m G V O V u 7 + v V 4 r 8 K 7 N n c / I S 5 U B f d 6 Q c 0 W 1 V i b b J q H u k z 6 c C a T q p Y j K 4 P 9 3 Y V p Z Y S E z e 1 N T 0 v H E 7 O j q m q t T I v G f M j c T m y 9 V W s O Y Y 1 Y D n n Z 2 d K g n i 0 j 5 K u p R Y o u 5 q 0 N 7 R I Q c 8 7 n m A V O H e Y B h O L O j E p d 9 X Y 3 O x P Y Q 0 o m n j 6 + f O z D O F s o p K K 5 n g O l E r 6 U G H 4 U 8 e I O l O A 4 M D 9 r 3 1 R D q i c I P r I S O C / E N y + M h T B E g 5 V L x U k g p g o 3 H 9 D m i W Q 5 w q r 6 x R 8 o s q V J K t H 5 P 4 u m D R d j Y r A Q s S 7 p 0 u Q O u A B Y + K A C P F o c B k s l h J f q U j K k 1 E 0 g H 1 k D 1 9 T 5 5 O x J / I L a N m a T x W r I b t A i E i A V e K Y D A o b J o 9 M T Z u i 4 b a K 4 i A v 1 S d u t s g b 3 v 6 f 0 r 3 n h / Z c w d s k N a 0 r V H C 2 H R T k 1 J b l 9 j 6 B 0 I L 6 y I l h l N R V W 2 9 L W h z D U b H R i 0 X s H l b k 0 n j l Q L C g O A p s a f F W r Z A K 3 B 3 r G U b G X L + u G + u l z m k K p j y j p r a O m V y O f M 7 Y c A A c / J y h Z Z x 2 G M s F k a F j I l s g r w v G 1 Z N U P 3 9 / b Y o 8 N g t B + I O L P p p t a s C 8 T k l F B J Q F y Y 4 E 5 h 0 0 n l Y T H B Y N j E o r a y W u d y F B e l T t b I h K Q m z B c e j E + 6 x E 0 e t x T E L F Y L K B h A T i 8 5 p I s O x I K b E A o 2 a H c J 7 j 1 t b T Q q w p 5 I j S X C n f 3 H p S z l y 7 L C l X q W S M M 7 x H L C 4 n 7 V 1 m D M H i X 7 l y 2 v W k s B p S s p C J x 8 v k / o 3 P T 1 l T g j U x Z H h o J S V V 8 x L Y D c g M M 7 v H Q t s K t R A B 5 h u q X b J e N m x a o J C 2 u D q z o a g h i a I s v s k F P N b y o n T t H A 1 Y O G T z j P h X 8 z h V y O l O F Z n V 7 d U V p R b t n g m I C 2 p 7 C 0 t K 7 E 9 n g j k u m F u c x 0 P Y k B w e Y D d h F f z / v 0 H 1 g 8 D I 5 8 W b J w X 7 + G d W / e k v q H W S v s 5 P l n t E C p Z F z T b 5 M F r H i x + F j o S f n h k V L p U 3 S w u K Z I 6 / Q 4 x P Y j Z m / + H c w F p y X l 5 j j a A M 4 j j c D 5 s P S / S E Z R V 8 a p U o 9 l o S M 2 n 0 a + 5 t 2 6 1 e C 6 j U l O a I C a Q r u F 7 t m C i y V Y I u x w n A C k 4 v E I v E s d q b K h P c P o M g A C + u H R Z V d U i a 5 / l 3 n H P Q W 1 9 v d k X 7 p I L b C t q g k 6 f P m W S 6 O M P P 5 E b N 2 / Z V q C E A d 5 8 + w 3 L s m B x 0 6 x / d G R M C a z e C h q p I v 7 0 k w u m j k F M 2 H W A 4 7 C w i S 0 d P L B f n j x t M 6 k D M b m D r x A Y 1 5 2 r R I 6 9 i g R z C g m R Z P R a T A U I x 0 t M E B i u e 6 Q c 6 u K 0 q n 9 b S I 3 A H / z B D 6 2 n x E o B p 3 Q 4 p x f l w 1 f m e 9 U 5 o J / E X J K o 1 m O z M 5 w l J G G 6 P U f 4 D K m 9 w W l B K X b v l N 8 2 Q Z u d j c 9 v y e 8 F w d d 2 V e H Y 4 z Y d U D X p K 4 E k Y I G n U q 1 4 j w d e t M H + P s k v J D i b u E m + j V p G Y 5 e a 6 m p d + F P S 0 t J q s T h q v i i / Z y M A i O n p 4 6 f W + I W N z Q i m 4 n F k G x y u j x 0 5 C G 6 z M w a F l 5 S v Y 1 f S X R e Q a 8 f i 5 z q Y H 9 z r u M i R R F 7 V E g 9 l K v u X O j P 3 d z m O c x 9 I 4 P 6 J g M S W q X x + m f F c V D 4 H 7 r T / i p y o F O a t T K K k w n K l B O M T q v I U 5 M n 2 8 q W 3 i e c N T y X d Y J 3 G j d g G K R L e 5 a F K l V 2 7 d y 3 p 4 e c G U g G v G Q u d j A k n / c c L 0 o D I k 0 M y I p 1 G l I A 6 O z q U G P R D X d B H D h + y t s U 4 C h w 1 j s 3 n d K U b c b g L B L 1 d b n F r I 2 G K 9 P g Q B x I n V T N M V D t q r i B 8 0 o v c R I T a 6 r S r 5 n v O Z 1 z f 1 y l N a C P w X E e n M m 9 B V R i N L F Y r V g s 6 4 7 C h W y r Q q L P r 2 V O z 3 y A 8 H u 0 j i Q R N M D A 4 a P s u Q U y T s 4 k m n U O q N v I 9 L / k R 3 P 3 y i 8 v J V 6 m B s Y 9 D w h w A U 7 2 S O z N k a p c b 2 D I Q C V K E T A o y 7 t l w o X n 7 N i X G s J w 4 e V z G J 6 c s G y S q K 7 i r o 1 0 l X i I g T h c m t 9 2 D r b X D k 4 C L 2 o l r H G I C N A x 1 k H C a x J T Y g y r Z x s z J U F h Q a I Q L u F a + Q x w Q k E / o l W x b y I w N U f n S I c f v W 1 w O r a r Z W h w U o D g 3 K k M D v e I v X O x U I D X K N z 0 g K q C k s n r B O 0 U m d D i p G l Y 0 b L e / P F A d Z 2 M + o U c h o A K 4 J D e R L o M a h f q F y 5 4 C P D x t 7 o X W 0 f Z M C p R I W K z F h f l y 9 s q P Z N f 4 Z 1 L X + 0 t p 6 v p / p M u 3 Q 2 3 H X L M / U M M g O n 7 P b h Q 8 H 9 f F / e T x E z n z 2 l l T / 7 B v 6 P U w p Y Q 1 M D B k e Y e k D q H K 0 m k J Q G D s M E i / j E z A 6 5 h Q A R M V u D y H o N 3 5 f s P K W B K a c 6 I v H 3 E p H C q o u s 6 1 k m 4 0 6 N q G t S 6 f p j 2 u u d y C 4 b m z n 5 L A g j S Z j P o l R W L y i o B 6 Q w D y 3 t 1 n u N X s w R 5 S 9 U U x s z l O 7 E u t d i 0 L X S s d K s 0 e P W 6 z l t C f f 3 r B 4 j l I C N Q h X N k O t u / c J a P 6 m t b U x 7 7 8 z 5 L v L u B M x / 9 s n r 9 x q 6 e a t U V N L h 7 N 9 i F C V L J j x 4 / L r Z u 3 b f G S X j U 6 p e d + 2 C r l 5 S U W u 6 J z b l 3 9 w r 1 w D C q O K S v h m O k A Q W C r w Q j S o W H b N v M E O t K P 0 n s I r q q q 2 q 5 n R n / q d i a R U O 3 x W 2 w h C R s l 1 B C 8 S K 2 t T 4 y L b i S 8 C c Z s q 7 l W V J S V y u n 9 p Z I 3 O y Q N R V H Z r g K J i l M a 3 R N E x q X O o 8 S / M u 8 U W 5 e W N e 2 R 0 2 d O y z f e e V u 2 7 9 h t H B w Q 9 K Q y 1 l n M 9 Q 2 N V u H q j 6 b 2 G H a 1 P 1 P C 2 2 k B Y E D 6 T 6 I E P 2 4 L m e t E e k F g 0 T m V / r E p 2 7 U j E M i 1 x c 4 O 7 E W u C l + u g 2 2 G D h 4 6 u K R z k R s R X P R j E 5 Z 1 j q R N B e w 3 v J P D S s Q j r h S 9 v n F s p o C M e D y z T a W p j 7 M F X d + H D h 5 6 r 7 e 3 1 5 J T U S e e P n 5 m T U x K d Z F m y m J Y j c p H L / F c v 6 o S O k G U D j j w 6 S L K W + M O 3 z h H i E + x Z Q t V v 5 2 d X U o A z Y v 2 s s r X c 0 y o K o c a t x I 4 a m F Z X q K a l p x f L p 8 M b 3 p A O C 2 5 Q F 3 P L 1 X d X L r A e 7 Z 9 f z 6 h t a + n 2 6 Q q h E R z f R w U 4 V i i v M G f q 8 c M F 0 h e c b l U F O f K g w c t F g S n B 4 c X u M 9 x q j x s a T X i 4 9 o o J X n 2 r E 1 a H r R K V 3 e 3 1 Z F R i k 8 D f z Z 2 2 J Y M R j s w A l b p h a M D Z Q E 1 L j g 4 L C E 2 J H f N k R v U M o 3 N L m 4 n t 4 U E z M t H a 2 O M Y 4 f 7 s t v G I 5 2 k p u b G + d 0 T v M D L R 6 6 d Y / y m A m X g L A Y I C e O Y j c E c A g y G c u X M + d f s O V s 8 7 s x + 2 6 C s g A 3 w 2 S c X V L K 8 l X x n A c t 5 B r 3 I U c 7 u 7 G I P B k K 6 + K M x q S n R c Q g O q Y 2 2 o I r 5 Y 2 E 5 f u n 3 k 6 8 S G K z 7 H e n e / 8 f 2 H M d F h U o 3 d s G f m p 6 0 J v x 4 / U J 5 1 e b t o 5 7 J G W 8 K 8 a 5 + + A t r 0 s m 2 O O l w 9 + 4 9 I w h q s P B G z s 2 G 5 d D h g 2 a P O T E l C A e P I I 1 o c v I K 5 z u 8 4 n i g 9 g q w N e e 1 G / e U m C v l 2 J G V V x t v I U l Q t t O f v v D u U I 6 n 6 Z 5 O 1 v 4 D + y 0 7 3 E 1 Y K 3 W b s 8 C d J F I w F 4 l L c C 4 x q + z i v X P B b 7 A u Q H U d G R 4 1 z u 3 G S o n J Q Z 7 y 7 + q k x s U x q D 6 d U Y J A H e v t 7 r J x Q L 0 i N Y r 2 0 a / 2 / F h y w 2 P y 6 / J / K j t 3 J 3 Y N w R 0 N c 3 G r b i D T N V 3 8 5 b + T 7 3 3 / H 6 V k a m 6 w b 9 f j x 0 / M / q L 3 B j Y X q V E Q 1 O R c j m 2 j O T 4 d l j t t U 7 J n V 2 J D c H Z K 8 e W g L d j L L a w D 5 u N Q b N t y 4 t T x l B H 0 C T V q 7 6 s 0 O n T 4 k J Q p 0 T G 5 Q 8 G g 1 T W t J A 7 l h X s h s U B T x X 9 W C 3 r 9 c X 1 4 t h z 0 T C p J p 1 F j V g o a i 8 h U j z Q 0 L e w 7 l Q p 9 P Q v f c Y K u X m Q i q C f P g n J q X 2 X G z R h w l l D S T 7 I u T J F z k G t J s x i q j d 9 8 6 7 x 0 j Q Q k v 2 j x e Q q U S c w 8 f 7 / U 1 x r z o 5 m X n 6 s L O v X g o j q w q R q R P T q l X r r 4 h X S r j e K 0 o F o P k G g 5 M r V 2 Y 5 d g K Z y a H e 3 d x M S i X S 9 i A u V 5 o b T E 5 C 6 H w G 0 N K G U f G l x a a p 6 J m M D e 3 d U y H v V b w N k L G B 2 S 6 O m T p 3 o t D a Z R E E c C 7 H l F S 2 m 6 5 Z K S 5 C U m A D E h p b a w f p g f Z d o K e 3 O 4 v C C B 9 L X X z 6 r y J n J C 1 Y r l + k C s F D O + Q M q F k w 5 w f G w D 7 L P O r i 6 5 d u 2 G x W 6 s C 9 G Z 9 d / 4 z I 3 g 7 G K 1 z Q 1 2 7 q M / H 4 4 b J 1 5 F b 7 z a u g b b m 5 b r h p C W I y Y 3 U m V 2 0 + k W o j l + 4 r j l B s I Q y Q d 0 8 O D B Q 4 t h s V m b F 9 S 7 W U J x u n 7 Z W 1 g V 5 k e T 1 l f Z A H V i v f h 8 d f 5 S 6 u m n E 8 4 y I O B 4 / d p 1 u X H j l t k O t M 8 q K y 2 T f f v 3 z m d o O 4 D 4 V 7 J w s 0 V R s n e 3 F / R r I H 5 D 3 h s S 0 k l I p T 4 K 5 0 N p W b l 0 j a a P C W W C 0 u E 8 U G l 1 M u x e m Z O E x z V P c v N y j J C p 9 0 J K s T / y 9 a u 3 k r 9 a w G x Y r J H k a p W M V G 0 P t u A i K C b n e W M 2 N C l D T 2 4 n X y W A W m Z N E F X y 4 L 4 n z s P D U W V 4 T s z s 1 O l T t s 0 N T T H Z Z Y P N B G i W 4 g b 7 W q 1 2 O 8 r l M J v C k q d 1 s b t P O A u d u F N / b 4 8 5 L 3 C v E 9 f J W a 1 k d 0 1 R N K f c w g T u Z Y 3 N R N k 9 X j 8 y z O v q a m y 3 k Y M H 9 8 l 3 b / z A H q 8 + / R / s u 5 R f 0 I l o N S D d i 7 Y H 2 L 1 b W A w b U b q H r i S e t B 5 g o j v a O y w D 2 z u t U V V D x s Y n l a t P W n U q H V v b 2 j q s e p d m / a T b p D L u D x 4 6 Y A Z 6 / 6 R P J m b U L i x c 3 Y J Z K R y C b 2 h s m u 8 a 5 E a 9 v l 9 Q W L R m S Y l U Q U p N 6 r 1 F / D n y 6 t n X 1 X 5 q S 3 4 q U l t b L e f P n 5 M z Z 1 6 1 c c W V T u l 7 S e H C 3 N a N p W 5 M s x I U J v O D 1 9 O J 9 H W B H 2 K 6 q a r T n r 2 7 k 2 8 t D 7 a h W S s I P t K m m E m v y F 2 a w d D y u N s C z W x 8 1 l B f Z 7 3 C 2 b 0 Q Y k p n 6 0 W L a m U y U G 4 9 3 7 x 7 A W 8 U U P F Q 7 V C 5 u C 5 v N g J p O 2 N K A P 1 T a 9 c A R s J + C a q a N s G 9 6 e H 8 u Y W W D 4 j N B o g j u t V d g N d v a r W N N 1 K A 2 3 N S h 1 d i 7 7 4 s 8 N + 8 c V s X 6 R F L 4 V 8 O Y e X C 9 A T P 5 r u Z A B H T 8 8 2 R M v n O H l M u n D p x a D 6 3 z A H f d 4 x 8 L 9 h H y E l s f V 5 4 3 D m s a t x C 5 T A O E g K 1 b p C 2 w 0 b g 6 3 V t Y R c z o 1 M b a U e U 8 K f D z l 0 7 V I o 9 k 2 v n f i I 3 9 / 2 3 8 q s 9 / 8 u a G p Z y G 5 V J c 3 u r B H 4 p / L v 3 7 F I O m 5 T h y w A P G l H 7 k y k q V l c C g p 8 7 d m 6 X c T X U U f 0 w s I v i C 9 W m Y C S L y S I D m p 3 G U a W G X J n Q z w v F 1 T U y O b t A K E i r 5 4 l p H Y A D B / c n X y 0 G M s T i X v o f v T 8 m Q 2 E J V x 2 W + / c e S H H + Y i m 6 U k y l z 8 V 9 6 e E P 5 V Z a B 5 v l g I 1 A b 4 T y V X T r 8 Q L H Q + u j x 3 L h 8 0 v 6 I q 5 S R 2 2 e k U F 5 + O X H U h R J u H 1 p 1 5 s O q B o 4 G 8 i A j i b q D r 4 y T I c X 1 E 8 8 e I M D S 2 N N G 4 U c V f E I 6 J J N D v J m E m 3 K a J l 8 6 c I X 1 k w G J w X 5 g F c u X 7 e s d T y h p I v N e V o I r A T E x R y w m 8 Y W F u D 7 n / 7 l T + P b t 9 e a C 9 v J 7 0 o F A q Y 0 o q + t X W U 5 h A u W Z V G c K M 1 e 7 I S P y 9 W r N 2 T 7 7 r 0 S K 6 x c 1 H g l q A J s L r 4 5 V Q z 2 N 3 I 0 O q Q C j S D N Q T E 7 K 8 H o 6 j N J s k F + P C K 9 b S 3 S v P e w q Z a M 2 e X L V 8 0 D 6 r a n x i d D U l Z S q O N 7 3 X p W I N 1 X 2 9 + D 7 W p g g n Q H z i v w 6 T X E U n o 9 X 0 b 4 u 5 + 0 S P e T 1 o z E B O i y Q 1 R + p W C B U R 7 i A D v s 4 Y N H V i m 6 N K L l s 8 k e 6 u u W r o c t 0 j k a k 1 F V q V D p s i U m J j v y n B s w O i 5 9 w L 1 y V 7 x H L G q j M e v L 0 X k Z N m K i S y 9 Z 4 A 3 b d i 6 p F J 5 W w q a k x a m L W o t J R 5 F m Y 4 k y Y C U m A D F x 7 i 0 o Q b 1 7 / o h M D H W b Q Z 0 J + 1 V V o B R g p f j y y y u 2 V S b 1 O J y D 1 C V 6 y u E t S t c o c W x 0 T A 4 f b F a V J k d C K 6 w K Z b L n N 9 J + T h g K 5 0 l 7 e 8 J 9 T c w J N z n S g T K S 5 4 F d e 3 b a X 7 / e O x s 8 5 1 T U S / d g Q g 2 k g L N 7 R C Q 3 M i w f f f i p v H L 4 k L 2 P E 2 c 1 c J b J o v i e z i X n p u X A y w 4 / e z X R w d X r 7 v V i O h S S o 8 e P S N B V q Z o N c H h U 1 y R K Q M h q x 6 n B Y o N D p t p y H 8 K r a 6 h X f b 8 3 5 T V F o 3 G T Q v G 5 m J Q F Y t K g K s 7 S D h D P H 8 X V u 8 y W o X r X Q U 1 T + p K L 9 U S f j p U b j G 1 R V Y 0 x L Z U d E g 0 N W 1 n H N 9 5 5 x x w U 2 M z j q + y r 5 3 a y 7 u 7 5 O w s W O 4 r G 7 F Z r Z v H T J p i 2 v j R e T A f U F 7 I Q i B n d v / v A 3 N 6 U I T B J t F R 2 A y I g a Z N y j b G x c W v i 2 F D f k E x Y b V u 0 Y V k q 0 L u h q b F B x k f H p a k 4 s d k A u j q E Q 2 S + u T Q u z W V x a a r Q R a w a F X O 5 D C 9 4 L k D R m 0 k 2 O 3 E w M b v x H H u o u 1 d 2 n z y X f L U A / H t 0 K L r 0 x R W Z y S m T 7 Q e P S z C c I 3 1 T v n V r o f y 0 4 T + U Z / X / y E r i Q V H + 8 9 U M N i M C J 4 4 f f y / R N o p e B k v b I 1 P j c + H C F 3 L 8 x F H 7 n G R M A o k 0 Z t x / c L 8 8 b H l k u W N m R y h r R M V j c 7 L r 1 2 5 a V 5 4 D B / Z b F o Z V j u 7 a v u y e S U g y v k + P c Q i y s b p Y y g s S h K N 2 c E p M b I Y u p n r d p Y V F E o / O W v 7 e 0 L R P Y s s k G 6 8 H 8 n L y x e / d c 8 i F y o b t a u / 4 Z D a a q 7 O t A 4 j 4 W i d Y X L D 2 q N l v B c p k 5 1 a b G P g 1 g u / f / p u / i c + F I y Y V G C A H S K y W + y 2 W g 0 a s y p E s x I 0 o S c D j t 2 f v H r O L M I D J v Y O w q N D 1 l s 7 z O a U F b F 9 T U b F 4 o + p 0 Q M K R O c 1 u G 7 v 3 7 L b a p l R B 3 c 3 U F p h t L y s L o y o F c s y m A E j W j c o n B E h t 7 C G y K N I h j 8 W + R i 9 c X P X E b M p f I K y Z l 9 j j N 1 + x y 2 K 1 J o 5 K V H T v I U f s 2 I k j 1 r f A D b x Y 9 L P r 7 x t Q q X V M c r L g w l e v X r N M 6 M N H X r H e 3 i s B u x u S n 4 e t h 6 u d M m / 6 a z v x s J 4 p m u T b 0 0 2 B / F h E Z v 0 L 9 4 g b m 6 z u 1 S a i L g f U 3 a b i m A z P J N q g f R W g X 3 1 Q z 9 9 U o i q 6 X k / 3 u F 9 V 9 + S H L x m M o J A s N H F k o S I J X t G F T / D P X a D n B S k v E F V z c 9 M i y Z Y K V I + 2 P W u 3 G i V v r t l K g K R j J w 7 q f u h v P j C h 7 2 3 y D E 0 n l r Y R J S Q O k I z 0 t 9 j I c 6 Q C D q J A M g B f 6 I t J h W r z E N S c a v + Z J O b X G b 5 P P v k g j r 1 D A / x 0 e X L p g B p 3 5 / Y 9 O X f u b P K d 9 K C H + N X L V + X V s 6 8 u 6 k S 0 E i A d c X o 4 z W S e 9 w J a D Z 4 H Q Y G + x / e s F q y k u l 5 m 1 r E B Z S Q S V y a Y + n g 4 I / x J g q r M j U m B S q U X Y U 4 2 E n 4 6 E 5 F p v l J i A k i z n T u 3 W 9 A X m y c T q O 5 9 9 c y r t g H 0 a m A B U 9 X N H W I i 4 P s i g P b O z 2 O R N e w 7 I u M j Q Z k c 6 F T R s b L t O j N h e 1 l c D 5 c i v D E T m y c m g E Q i s z 7 2 k s e i / N h A O A u 8 w G t H L p h T G u D A U b v 6 + v r k g w 8 + U i k 1 J U P D Q W s Z t h w K C v N l e H h Y 7 t 1 / k H x n e Z i L X q U b B O 9 s H w r p r j T g + 1 V h t f G e d C B 2 5 1 c p 7 f c t Z W C 7 d u 2 Q q q p K q S / x S 2 6 K z 1 c C b D N H u j Z X J J 7 j 3 H B A E 1 A v y K z 3 v + Q l 9 b 4 P f / v r + N 2 7 9 + X E i W P z t h B q 1 e 3 b d + T w k c P S 3 d 1 t 7 b h o l g g x 0 J i F 7 T L Z J o U m i y x 0 p B N S i i 1 S Q t M z 0 t T U a A 8 3 Q j M h u X v n g e W 3 j Y Q C 0 l i Z a 6 5 4 p 7 A R b y H x K + u N o E T + 9 G m b b d s C a F 7 v 3 o v 3 Z V Y r u P P 6 5 E K n z M l t q z g E 4 G C 1 4 9 R 5 / 4 4 8 e X R P v v X t b 9 q 2 q R W V t R L L K x d f 3 u r t 3 5 c F 5 p T o 6 O y U 6 u p q k z 7 s N w R Z k R F x 7 F h i b 1 g I z F z f U 9 N W a p 4 O S B P E x 9 D Q k E x M T F m J N r + j T I O + f u z + t 2 v X L p t o d o V / 1 P p Y y k p L l J j i 0 t P d Y w R M L w S c J J S 2 p w I u 6 L X x 3 q 8 H n I T c 0 W l l V s m a 5 6 i q Y c 2 J l n v m H E g X w C X T h B S t V C g N 6 H E j U w l N Z H J K q m o b Z H g u s K k 8 q Z s Z N u L b m 5 s t 6 + H u n X u 2 + z r b n O C i d o D k w j u X i Z g A 8 S c k V l 1 d n b m 6 D x 0 6 I P s P 7 J O 3 3 3 7 T U o 4 I 1 E K c R Q F k m l 8 O K d F Q k c t m Z l T j F h T k S 2 9 v v + z b t z d 5 x M U I z m w R k w O y I C A a G l g 6 k i m g a h i q G s g U M k p F T M S Z i v 0 x K c m n x X S x 7 e x R U l J s 7 a u 3 i C l 7 B E 6 c O P 4 e 6 h Q B V 4 x + 4 j y P n z y V v X v 2 r M p R 4 W C g f 1 B 6 R 2 d l R 9 N C u Q c E S U 5 g e X G + L Q Y m 3 S F W z k V W B q d M F f w l Z Y Y d C r e w g G l V + Q p U E 2 b M 8 t R m w q 5 k x 0 Z 6 j 6 O d E f D N V C 8 G c 3 P U f N K 8 n K 2 F c A D R 5 I W e f n x c 6 I 9 b 0 u 1 q g C 2 n M i / 5 6 u s P P 9 y I B U w O H T E l M J N F j 7 5 M w K H x p H t c X t m 3 u D E 9 N p i z B 2 0 6 2 9 X x 4 j k Y m U n Y A s + 7 v P 1 F A G P i 7 N k E M S C p 2 C 5 o I p r o + X f l 8 8 / s s 5 R Q h t Z 1 / 6 Y u 9 b h U + q f N Z v 3 w t x / b V q Q 0 M j 3 o q g T G f C U D Y j l 4 i x b L c m N r 3 q 7 o R Y M / G k 3 s + o 2 N Q / I r o G 5 m L a D h 5 L f f P S O F S S M W L W Q y N G c 6 O W p E t o C Y Z m h I s o W U i C U X q 6 P m g V J V 2 X K S i v H x 8 9 + w v 6 n Q W B y T 4 8 c P S s e d K 5 b Z j 3 f w n X f f t r 9 s 3 e N u s c 3 x S S d y z o M 0 h H g p S s 3 X c 7 G D J F L M 6 / k L q 1 R 7 2 R i h P 6 6 z 4 s 2 I c H Z j W A 0 Y 8 0 q d l J L k L t F w S h w J V + 5 2 L 9 l K J R M m Z u J b x L Q M H I 2 8 1 9 N R q b Y o L j U p m o i 6 w b z Q 3 O W 1 1 8 / Y l q Q V F e W m l T i E 5 I u r g p 2 U S n R t A t A G R M V u j / w + q N J x V m X c V N w v o R R p T 6 n e + 7 r D z z a X e N U c 9 P X 3 y 6 7 d i Y K 1 1 Y C Y U V V l h X n r H j 9 t l 6 d t Q 3 L n f r f V y k z P J l l c G j D 8 J O U O 6 g K Z j K 1 e 5 X z Z Q N I q C 9 y N 4 S y a 1 o w t r j a Z R 0 P n v 5 E T F / + J P v 4 j C U S m J O S u l v b Q a X i Z O f W C I y H d K J t 3 J O z X C X 4 a e j i i n J 0 a y H 5 Y S y O W Z 0 + f W U C Y 5 N q K m m 2 y e 2 e N H H 1 l m x w + s l s H f 0 p a H j 4 0 l 2 w q E J M a V n Y Y 2 b K X s o Z O 3 z z c q h + x K u w p 9 3 t e T C f d 7 V 7 k j T x K P l M G O f Q k + S y B h p K Y V O Z G z S N Y n h O T 3 A w 1 U L j n v c C 8 A F W q + V f m f f 0 o y t / Z z t 5 G B R Z Y p V o 2 V U 1 U t k A 6 8 f v K y k p 7 X l C Q i F / w I C N j W 2 O 9 e Q 9 v 3 b o j o 6 O j y V 8 t Y G R K Z O f h t b U o e 9 k Q c M V a 2 T D N j Q L 9 z J 8 U A x B A t u g 4 / m d q + w Q k k l s m g 2 U n k + 8 m g G e 2 I N c n Z Q U q 4 Z b J A k n p n t f F 0 K P X 2 a 8 S d d S d Q B u L q z R M V G A j w Y r S 7 O y / 2 e F / 4 / z r y a e 6 6 N e Q C Q 7 g P g / u t 1 g R I g 3 9 i 3 R A G R y 2 T G l S z g a Q Q n T k I e P i + v U b 8 x y L f 1 / m O p q 1 g s Y 0 v j z / o p 5 5 Y y F l Z j r s z M F U 0 h 4 l i J 7 0 W R g 6 R h P q I q 3 Z J u f U 7 g k r Y U 7 6 5 N b 5 n 8 j 1 0 / 8 y + a 0 k k i X u f J + u S R w 3 F d i B H 1 B p z T 5 a t Q V R y X G l Q g W U K p G g p D I 5 z V 0 a S + J S p 4 q R Q 4 L l a s p x / I K 5 o J T E F r Y H 2 u z w 4 5 A g z E p 1 L U H d t Y C 2 Y D O + Y p N 2 B G o d o 3 l b i p p C 1 E q k G e f l / B t Z h P c y w G l M Q 8 8 8 h 6 g o 6 a g v T z x 3 Q P s v d 1 g o N y / x g i 6 w V D 6 b 1 N D v E M M K e t u M 6 T n 6 x 3 W e / X H b 4 D o d n H n n 2 P F c v w z O q L R z x c N i A Z 9 0 q 4 I S 1 7 + N p Q m P Y S b k J h k z j 0 g o 8 3 e / a g S a t z W / Z + X v Z a W 2 O + F a 8 a R 7 U r l L f E k u X y o g y S g g v H T p i t R s W 7 0 j Z A u L M a u L N 1 f H 1 Z X + a J t u r w T p A r l + l X B h N A k l B m h 4 J q L / e L 5 K P 4 v l Q C N T A r 5 T + n u u r V j t M S f I 7 A Y O M 4 p c H e 2 p v E i k N D d u e Y z L B Y w h w D m V k t H n a J P 7 3 3 3 3 b a m p r l 4 X Y g L l 1 T V S X b e 4 v 3 c m k A z 7 y m t v J 1 9 t Y T 2 A x j W i 0 q Z j b P 0 X U q 1 r m d B 8 N L D G r H Y H / a G A q Z J e b 2 U 6 E B r I h D I l 0 O 4 J 3 5 p L / 1 c K f + u j V t t W h s 2 p 2 S 6 G t J O 1 Y O e O W h l F G V 8 B U O u 3 s H 5 w G H K u i h B n k c b V 4 F 9 L + 2 U H 5 B A 6 o B 5 q I 9 L B 5 l x O Y K o X 0 g E J 5 I 6 3 B X Q d 4 d Q I 6 I K i b M Z d r w X Y U 3 i j 4 T 9 y 9 I g 4 D 7 o Y U Y X r Y G R k 1 I g N B w N 2 U T Z o K I r I 5 c u 3 h A y M b F G / t X H X h o K p I 4 N i Z 9 X C I m S p I c n C s 2 q X K K E 5 0 5 v l N K 8 L k r 6 L J b C A c T I c Q K W C N 6 f U v b T c f T T Q U r H F o 9 i J K c C e w t B Y j A 3 H N w i L r h T 1 6 8 G 9 F o s T I a l u 3 b p l j o r B w S G 5 e f N W V k S F e / z b 3 z o v L U 9 6 k u 8 s D 8 9 4 b W G d w f h O J v P 7 x l V N I 4 8 S l Y j m L j s q R b Y r o W 0 r S c S s n u d c p D N t c J M 5 R M M e Y e 5 1 h 1 P E v Y 1 O S Z q t W d O B F o L + 3 I 2 7 y U V H h h M c f O W A 7 b K B 9 4 1 6 K J J n 2 Q Q a y z O V 0 e g G h N j W 3 i 7 3 r l 9 W F f L + o g y M L W w O k C a E 2 k Y M C Q K D o 3 e O i H T p g 2 6 8 S K + 4 r j q C w g 4 g N C c / c K M R m Y 1 b K T 3 e R q 4 v L 7 n V E m Y B L a V j y a x q P q P j F U D q r h g b d D t W Y J h 8 n h F X L l + T M 2 d P Z y S q 9 o 4 O q a 6 q k k Q 6 0 5 w M 9 P W b C r l j R 7 M l 3 m Y q B 2 G A t r A 5 w Z 6 6 g a R b f h 6 s G t d b 0 6 G w P L 5 9 Q 8 6 d P S p j 4 c K M G R Q r w f T k t N Q U K b P P K R D 6 e X q 7 K T k d n y B 6 9 g p b S 6 m I u 5 x l t c h 6 F V d W l s v Y m C c U 7 w G Z F h A O u 2 o U F u T b 7 n m U A X z 5 x R X 5 6 M J t m V h h 3 t c W N g f c x J T v 1 z l E b / K s u / L 4 q B w 4 e l S m / U X r R k y g q K T I j s k W r 6 l a k 9 H v M K h m P 3 R Q j + e P / 1 e 4 z A h E k 5 m x V m I C W R M U 3 V v b O z r n 7 a t U m J y Y W j L Q Z D C / 9 Y 0 3 Z V d T m V y 5 d i / 5 7 l K U R M f l 2 p c 3 k 6 + 2 s F l h T g C P 9 w y E i 2 q l w F X l / T w x p 8 s Y D c e 0 H L 2 0 l d I F 6 V D T y Q T g L M q + M m K R y p e f X y A n T 5 1 J v v I i b h L I 7 w + o k R j V i 6 Z j a 6 L a 1 h G V f J 6 X R 9 O V x X f E T u R g L h K T P I s 2 c k q + w 0 4 a U X t F c F l 8 G 5 d h P q 3 2 3 A e X r i d f b e F 5 I 7 G h g E + S 9 a U r B r 0 u K J z c 7 F j B F f q U W B K 7 n f M 8 N 5 c t a R J E R I V u g s h 8 R l w O A T l I i G D 9 T C 3 L x O e J 7 5 B X R q U w + X 0 Q a u J 7 W / g 6 g p i Q H 3 U x C Q g k n i I b P R 3 w R W x + c l r B N U I E u C / d L k z U O U r W I Q i I K f F 5 4 n t u R O Z V R L a S p J F L w B 6 J M n u X N E s j q r f o 7 O u B y F w i b w 9 P I s 1 g m s o S r 3 n g x s 8 E E n 2 d 9 m m b G S s g e t Q 6 X f P 6 T 6 K X 3 u L V 7 4 9 H j b i Q V u 7 P I E R 6 p v v j i U i d V 3 p l g 1 R 0 x n t p 4 n d b 2 I Q g e 2 F 7 Z e J 5 q t 1 3 l m s I W r / 6 E r 3 n i r R 3 8 f n n n 8 v P f / 7 z 5 C s H i V g U D y / i / l z 5 + O O P T Q I 5 D V 4 g p r / 8 y 7 + 0 n f 3 u P n g o P / 3 p T 2 U u n O h h 4 c W P f / y / y Y P 7 9 5 O v l o f 7 E h 4 9 e r R E K j r g u F t 4 v p g J K R P 1 Z M p U L p N 7 B 9 K 1 M n k R V D 0 H a Z 0 S P / 7 x j / X f u F R U V M r w c F A G B g b n m 7 i A m p o a + f 7 3 v y / / + l / / 3 9 L b 2 2 f N P c L h i P z w h z + U 1 t Z W 6 e n p k a d P n 5 p H 8 M / / / M / k 4 s V L M j g 4 q N / t s b S k 6 e l p K 2 w s K S m 1 r r Q t L S 1 K J H 7 p 7 e u z A k W I L j w X l j / + p / + 5 t L e 1 y x d f X L J d P E h F O X j g g J w 9 e 1 Z + 9 r O f W b f Z P X v 2 m P e R H T n 6 9 F r G J 8 a t N + D x 4 8 f t u H / y J / / F l l P i O Q H 1 D X 4 J w 5 t S T Z 9 U P B J U q X 1 y J 9 a 6 0 U u A d h l t w x u 8 3 a w N T 1 M S f 2 d n h 8 z O z l j n 1 6 G h Q T l 8 + I i 8 8 8 4 7 8 9 W 8 e P J w T v z i F 7 8 w p 0 R j Y 4 M 1 e i k v L 1 c u E 7 X F j a T K U 9 W Q E g 0 I h c V O x y O I D 4 l S W l o i t b V 1 V t l L R 1 o k D A N E 4 0 u O h f e P v u k O D h 4 8 K E W F R f J 7 P / h B U q 1 U B l B Q K D / 4 3 R 9 Y H d Y B J T K I t 0 S P + 9 3 v f l d q a 2 r n j 7 u F 5 w T z 5 C 1 o D 6 P T P q k p i V t a E 8 H X d M A 2 w k m R D k U p q o 3 X K 8 t 9 J d B l v S y y d p s 7 t g / E k R o J Z 0 T C n a 7 i W 3 V m C A t 2 h S c P N X F O J Q 6 S B 1 v L q z b q 1 x f h s 8 8 + l U 8 + + U T + x b / 4 r 2 3 7 G 8 / X 5 + H 9 X T p s S a i N R 5 7 O f 7 W H c J j v V C Z C O q T K m A m o R l P n k W 7 e v u 6 b B b 6 f / + z f x h 2 b p 6 C w U N 5 8 M 9 H L L T E I 7 o G I m 2 T g u w s D t P A 5 0 o E O t K l + h y q I I 4 P B x e O X 6 2 p m C U F A E + 5 f e J H O + Z A t M Y E t g t o Y s H v h 8 J z f G r Y k O 8 c t A t X Y Z M 6 s F G 7 C 8 q p 7 D j Z j u p r f p I e u W H u 4 O A l E A J F A R G x q n W i I S X p R 2 D 5 D 1 Q v r g 8 8 W i I k b 9 A 5 e I j Z l z / T 4 E J M v N q c S b I E g V k N M W 9 g c o G M t b v B U x L Q W Q E R I v I r c 9 K p g J j X x q 4 K / p F h t m + S j u K j Y i I I H E o U H h A I x E b j F L n J i T j T D p N E K 8 a R E k D c d t 1 g q R q I + H f 0 s C S V J i 1 v Y h M h N e v I y b E K / J q A + F m b Y q z d v g 8 6 7 F m Q h M 1 n 5 c S M g 1 D 2 I C o c E R M X r h N G / m D p 8 s c W 5 f t Y Y Z J V w q 3 V + l W w O t g j t q 0 d 1 G q / d I m z g P G 3 G 7 a r W p I Q 6 K m I 4 z E J f G D l i U m 5 Y 6 y r 7 u z K 7 x + C i x Z g / o V d A T J t P 2 L 8 8 y N P R R y X L h k 2 6 r I g N A d d R v Y k q v t M T V G R W V + 7 y F 4 q U Q m J h V 6 U C n j 5 U Q r A a Z p X K P c o k b f A 8 b c E B w 6 8 P f y R B R L a A v 5 q k 8 r T I 0 1 X M d W 0 E 3 O s s G 6 0 o 8 A d / 8 M P 3 k s + N M B o a 2 d I m L r P / 6 0 G R Y K s q y E U S L a i W n L x C c y 7 8 x V / 8 h b z 7 7 r u J H y S B p E L 1 Q 7 V j s Q 8 N B S 3 L g k 3 b / u i P / l j q a u t k 9 + 7 d w r 6 w Y + M T E g w O S W l p I p e E Q K 3 7 t R f 3 7 9 + X v / q r v 5 K 2 t j Y 7 x p / + 6 Z 9 a F s e 7 3 / y m / P N / / l / J X / / 1 X 8 v n n 3 1 m x / n k k 4 / l y p X L 9 v j 8 8 8 9 k o H 9 A / u 7 v f m o x t H A k I k + 7 e p N H 3 U I 2 q M 6 P S k W + G v 9 5 c c u 9 W x 2 e H + u D 9 8 6 t 8 w Y F H I 2 0 K U o 8 W N v I G P 6 m Q + A / + M c / e o / t 8 M E C Q e m P J 3 v F t + M b E i 3 d K b 6 S O g n o Z z d v 3 p S R k W G 5 f + e m X P r i S / n w w w / l 8 u U v 5 f 3 3 f y M D A w P y 0 U c f y a N H r X L j x g 0 L t h K 4 f f / 9 9 6 2 C 9 + L F i / K z n / 1 c f v v b D + S T j z 8 2 N f B v / / Z v J B I J y 0 9 + 8 h P z J v 6 r f / V / y c O H L f L r X / + 9 X L x w 0 U r w L 1 y 4 I H v 3 7 t F j 3 r R M C z b L p m l M V A m 4 q 6 t T v v e 9 7 8 m 5 c 2 / I c D A o / + k f / q F c u 3 Z V / t k / + x O 9 r s v y g 9 / 7 P e n s 7 J S T J 0 9 t E d Q K A c e n w + u L B J w U K + 0 / m A 1 s S x 4 a u w Q S R J U e I v 8 / / U K y U O g P + q w 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 N a m e = " A m o u n t   o f   f u n d i n g   r e c e i v e d "   G u i d = " 4 2 1 2 7 d 2 a - 0 3 7 1 - 4 1 e 6 - a 6 3 c - f 7 7 b 9 7 1 8 1 3 6 e "   R e v = " 2 5 "   R e v G u i d = " 0 8 f 6 f c 5 8 - 8 7 7 2 - 4 a 1 0 - 8 2 5 d - 2 b 5 e 7 0 3 b f 1 4 2 "   V i s i b l e = " t r u e "   I n s t O n l y = " f a l s e " & g t ; & l t ; G e o V i s   V i s i b l e = " t r u e "   L a y e r C o l o r S e t = " f a l s e "   R e g i o n S h a d i n g M o d e S e t = " f a l s e "   R e g i o n S h a d i n g M o d e = " G l o b a l "   T T T e m p l a t e = " B a s i c "   V i s u a l T y p e = " B u b b l e C h a r t "   N u l l s = " f a l s e "   Z e r o s = " t r u e "   N e g a t i v e s = " t r u e "   H e a t M a p B l e n d M o d e = " A d d "   V i s u a l S h a p e = " C i r c l e " 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 N a m e = " R e c i p i e n t "   V i s i b l e = " t r u e "   D a t a T y p e = " S t r i n g "   M o d e l Q u e r y N a m e = " ' T a b l e 1 ' [ R e c i p i e n t ] " & g t ; & l t ; T a b l e   M o d e l N a m e = " T a b l e 1 "   N a m e I n S o u r c e = " T a b l e 1 "   V i s i b l e = " t r u e "   L a s t R e f r e s h = " 0 0 0 1 - 0 1 - 0 1 T 0 0 : 0 0 : 0 0 "   / & g t ; & l t ; / G e o C o l u m n & g t ; & l t ; / G e o C o l u m n s & g t ; & l t ; C o u n t r y   N a m e = " R e c i p i e n t "   V i s i b l e = " t r u e "   D a t a T y p e = " S t r i n g "   M o d e l Q u e r y N a m e = " ' T a b l e 1 ' [ R e c i p i e n t ] " & g t ; & l t ; T a b l e   M o d e l N a m e = " T a b l e 1 "   N a m e I n S o u r c e = " T a b l e 1 "   V i s i b l e = " t r u e "   L a s t R e f r e s h = " 0 0 0 1 - 0 1 - 0 1 T 0 0 : 0 0 : 0 0 "   / & g t ; & l t ; / C o u n t r y & g t ; & l t ; / G e o E n t i t y & g t ; & l t ; M e a s u r e s & g t ; & l t ; M e a s u r e   N a m e = " A n n u a l   E m i s s i o n s   ( M M T C O 2 ) "   V i s i b l e = " t r u e "   D a t a T y p e = " D o u b l e "   M o d e l Q u e r y N a m e = " ' T a b l e 1 ' [ A n n u a l   E m i s s i o n s   ( M M T C O 2 ) ] " & g t ; & l t ; T a b l e   M o d e l N a m e = " T a b l e 1 "   N a m e I n S o u r c e = " T a b l e 1 "   V i s i b l e = " t r u e "   L a s t R e f r e s h = " 0 0 0 1 - 0 1 - 0 1 T 0 0 : 0 0 : 0 0 "   / & g t ; & l t ; / M e a s u r e & g t ; & l t ; / M e a s u r e s & g t ; & l t ; M e a s u r e A F s & 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7 & l t ; / X & g t ; & l t ; Y & g t ; 5 0 5 & l t ; / Y & g t ; & l t ; D i s t a n c e T o N e a r e s t C o r n e r X & g t ; 7 & l t ; / D i s t a n c e T o N e a r e s t C o r n e r X & g t ; & l t ; D i s t a n c e T o N e a r e s t C o r n e r Y & g t ; 1 & l t ; / D i s t a n c e T o N e a r e s t C o r n e r Y & g t ; & l t ; Z O r d e r & g t ; 0 & l t ; / Z O r d e r & g t ; & l t ; W i d t h & g t ; 2 6 0 & l t ; / W i d t h & g t ; & l t ; H e i g h t & g t ; 1 3 9 & l t ; / H e i g h t & g t ; & l t ; A c t u a l W i d t h & g t ; 2 6 0 & l t ; / A c t u a l W i d t h & g t ; & l t ; A c t u a l H e i g h t & g t ; 1 3 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4 2 1 2 7 d 2 a - 0 3 7 1 - 4 1 e 6 - a 6 3 c - f 7 7 b 9 7 1 8 1 3 6 e & l t ; / L a y e r I d & g t ; & l t ; R a w H e a t M a p M i n & g t ; 0 & l t ; / R a w H e a t M a p M i n & g t ; & l t ; R a w H e a t M a p M a x & g t ; 0 & l t ; / R a w H e a t M a p M a x & g t ; & l t ; M i n i m u m & g t ; 0 & l t ; / M i n i m u m & g t ; & l t ; M a x i m u m & g t ; 9 9 . 8 6 7 5 0 8 0 4 2 4 1 3 4 1 9 & l t ; / M a x i m u m & g t ; & l t ; / L e g e n d & g t ; & l t ; D o c k & g t ; B o t t o m L e f t & l t ; / D o c k & g t ; & l t ; / D e c o r a t o r & g t ; & l t ; / D e c o r a t o r s & g t ; & l t ; / S e r i a l i z e d L a y e r M a n a g e r & g t ; < / L a y e r s C o n t e n t > < / S c e n e > < S c e n e   C u s t o m M a p G u i d = " 0 0 0 0 0 0 0 0 - 0 0 0 0 - 0 0 0 0 - 0 0 0 0 - 0 0 0 0 0 0 0 0 0 0 0 0 "   C u s t o m M a p I d = " 0 0 0 0 0 0 0 0 - 0 0 0 0 - 0 0 0 0 - 0 0 0 0 - 0 0 0 0 0 0 0 0 0 0 0 0 "   S c e n e I d = " 6 f 0 3 5 c b a - 9 b 6 0 - 4 0 5 9 - b c a 7 - 2 0 2 9 1 b 2 8 6 b d 5 " > < T r a n s i t i o n > M o v e T o < / T r a n s i t i o n > < E f f e c t > S t a t i o n < / E f f e c t > < T h e m e > B i n g R o a d < / T h e m e > < T h e m e W i t h L a b e l > f a l s e < / T h e m e W i t h L a b e l > < F l a t M o d e E n a b l e d > t r u e < / F l a t M o d e E n a b l e d > < D u r a t i o n > 1 0 0 0 0 0 0 0 0 < / D u r a t i o n > < T r a n s i t i o n D u r a t i o n > 3 0 0 0 0 0 0 0 < / T r a n s i t i o n D u r a t i o n > < S p e e d > 0 . 5 < / S p e e d > < F r a m e > < C a m e r a > < L a t i t u d e > 3 1 . 2 4 0 6 4 0 1 8 1 5 1 8 < / L a t i t u d e > < L o n g i t u d e > 6 6 . 5 7 8 0 8 9 0 6 7 9 7 4 8 5 8 < / L o n g i t u d e > < R o t a t i o n > 0 < / R o t a t i o n > < P i v o t A n g l e > 0 < / P i v o t A n g l e > < D i s t a n c e > 2 . 9 2 9 6 8 7 5 < / D i s t a n c e > < / C a m e r a > < I m a g e > i V B O R w 0 K G g o A A A A N S U h E U g A A A N Q A A A B 1 C A Y A A A A 2 n s 9 T A A A A A X N S R 0 I A r s 4 c 6 Q A A A A R n Q U 1 B A A C x j w v 8 Y Q U A A A A J c E h Z c w A A A 2 A A A A N g A b T C 1 p 0 A A F R y S U R B V H h e 7 b 0 H c J 3 p e t / 3 o P f e O w G S Y C / L Z V 1 y y V 1 u u V W R d O / V j a T I 8 b X G M 9 b Y Y y s T a z J K x p P E k 0 l G 8 s h W I s t R 4 o l n M o o k j 2 x J t 2 9 n W / b e C 0 A Q v f f e S 9 7 f 8 5 0 X + P D h O 8 A 5 I M A l 9 + 5 / B 0 u c g 1 O + 8 j 7 v 8 3 9 6 x N 9 c G Z y T F Z A Q M y e l W T O S n j A r 9 1 t i Z G 4 u Q o 5 U T E h 0 Z O A F A Y x N R U h 1 R 5 R 0 D E U F n l l / 5 K b M y N 7 i a a m v q 5 e y D W U S E R E R + M t i d A 1 F y u 1 m j n 1 O k m L n 5 N i m q c B f H I y M j E p 3 d 7 e U l Z U G n n H w y e O 4 w G 8 L 4 P 1 H N 0 4 G H j m Y m h G J 8 Z z 2 Q H + f p K V n B B 6 F h r H R E Z m e m p a U t L T A M 2 s L P j 8 u L l 4 i o 9 b n H n W 0 t k h e Y V H g 0 a u L s b F R S U h I D D x a Q F d 7 u + T k 5 w c e L Y V H J P y B o F S 1 R 8 v T j m g 5 W j H p K 0 w A w S v J M C v r B c L K T 3 V 1 T V B h A g g T 4 D W j U 5 H S 2 r / 4 B M Y n J i Q 7 O z v w a D H i o x f v O Q l G o L z w C h O Y m Z k N / B Y 6 h g Y G J S 4 h I f B o 7 Z G Q m C R T U 4 s 3 k 7 X E l 0 W Y o q O i A 4 8 W A 2 H q 7 u w M P F q K k A Q K b M y e l u 0 F 0 7 q A / Y T J o q n f / 0 D W A 7 F R c 7 K z c F q m p q d l z 9 7 d g W e X Y s a z / j d k z k h m 0 u I n o y I j Z d K z 0 H p H n B M d n 4 6 Q d 7 Z O y L Z 8 5 + / d w 5 H S P x Z c e C 0 y s 7 K k o 6 0 1 8 G h l T B q h z i 0 o k B l z P u s J t N P k 5 G I N + x U W E G H + i 4 m N D T x a i u z c X P 1 3 s L / f a P x R G T V a f 2 R 4 W J 8 L W a C e d U f L p d p Y G Z z w f 8 u E W X Q D Z p F 1 D I b 8 k c + F l L h Z K U i b k S i z r i c m J g 1 l c 0 7 I D 7 z G j c 2 5 0 x J v t K k b 6 e l p 0 t 3 V F X j k I D N p V l L j H S 1 z o c a 5 w O 9 v m 5 C 3 N k 9 K n x E 2 w x 5 9 M W 0 E A q H o M Z 8 X E x P 8 x r g x N D g o s X E O v Y w 3 G q r T U I u h g Q H p M T R 0 f G x M 2 l s d w R w e G t K b + D y I i Y k x u 2 x H 4 N H a o r + v N / D b q w E 2 F j R O b 3 e X b m i j I y P S 3 x v a O a S m p 0 t U d L Q k G q 2 f l J y s z 4 W 1 + h M N 1 Y k z W q G l f y m / O f c 0 V q 7 W h 7 Z 4 1 g J 7 j N 2 U k z I n / f 0 D 8 u j h Y 8 N 3 k w J / W Y p b T Q 7 d A 1 D W Y M y w v 6 8 / 8 N s C D p d P y Z u b J s 2 G I e a 8 H e 0 b a y h g e f b M k s + Z m Z n R B R 9 t L j I X O i s n R z K D 0 E g v E C I L a G m u o R b Y U V n m / f y N z 0 H o k l N S D G 1 L N A L X F n j 1 6 j A z v T 7 U H D r J B j D Q 1 x d 4 5 u U E 1 3 L A a B i E C Y 2 T m Z 2 j G 1 p i U p L k F 4 V O W 6 M 8 t m h Y A j U 8 E a G C 0 z r g v A 0 T 4 V R V n K / h v l 4 o S p 9 R w b 5 j b K L M x F m p e l I t B w + + L g U F e Y F X L M Y V I + R Q N L C v Z E q S 4 o K o F Y O J I D R o Y q h H 3 j O U 7 3 D 5 8 j S J i 8 u C x / E R L t B G y y H W U J C U 1 N T A I 5 G 0 j M x 5 m h E u E P y S D R s C j 5 4 P n O o f H 7 8 y r 6 3 H j f Z k A 5 i Y n F j V d X g R 4 L i 4 l m l G w x Q W F w e e X R 2 8 A h W S l + 9 l Q r m x 5 T b n L O y u j Y 3 N U l q 6 9 K L g d T v 3 N E 5 m z d n F G Y 2 C I G 5 y v c 8 P C N S D e w / l 9 f 2 v B Z 5 x w A 1 Y z u H h B V Q P 7 R Q O x s f H J D 4 + P G d E v 9 E C H B s / L A 6 o Z l y A N r 4 o / M m 7 1 2 S 0 b 0 r i U 6 P l v z l z y N g T o 4 Y C O d 6 x 1 u Y m s 2 B L 9 P e X C U O D A 0 a g n t + L O j s 7 K 5 H G 9 n Y j L A 3 1 R Q I P I i 7 y O Y / j L N h C v 9 E Y o 8 I E s O 9 W E i Y Q h y H q + b y b j d H 6 H d C Y U B E X H 6 9 a o K s j d D t l N R Q p P S N D M j I z 1 f n B T o k w T Z l N w R 7 r x P i 4 s S 8 d T Q E V t W A h r B W + / 6 c 7 9 N / f / P e 7 9 N + e r g U P W G Q Y m 9 C L R D i b 4 3 I Y N 9 c X m M s 7 j x c q U L i b / d z L K y E 5 b k Z 2 F 0 3 L H v N T m b d Y M I a G l t I e B G h o P P x T g / + n p q U E H o k 8 a j M U z l D E o f E I p T H D h n e H g t 6 e b l 1 Y S Y a P h 4 p w t V M w 4 J 2 y 9 h i C j Z C x g K C i A C N 8 0 O z Q a 4 X 8 r U n y + z e P S u 5 m R y v F u s 4 j K f C d X y S I B X q d D G O j o W + O y y H B X O f u 4 S g 5 U x 0 n f a P O e n u h A j U 2 G a F U L B z g A M h L m Z P x q S X K Q z E 7 u / Q D V 2 t v X 7 5 0 V T Z v 2 h h 4 J L K 9 Y E a a + 6 O N z e j s A m M h a q n S D e W S m 1 8 g 4 x P O D h Y K R o Y X N M h 6 A l s s P i 4 + 8 G j t k R t w K Y O 4 N d o k n g c E 1 t O M J m e D w 3 O K E y L D a H S v R 3 c l E I v F F q / v i Z Y n H Y 5 z C q 9 g X U + k 5 C b P S I a x 5 8 F L T / m m j L Y Z N B o i L 3 X W a I r A k y 4 k J i Y s C V Q 2 + 3 g h J 1 c Q s s / P X p C Z / L e W O F i 2 F 0 x J Y 2 + U t D U 3 S / Q y s Q k / e P m 1 F 8 S o o I W 9 3 d 3 z O 7 u b m q 0 X 0 G C 1 1 V W B R 2 s D a C Q L z E 2 n E N 4 v C t D c 6 c C 6 4 J i y c n L V c 4 p H D y 9 s d h g 2 L g z l f E 2 s e o u r O 6 N k k 7 H j Q X V P i g y M R c q m 3 I W 4 4 U s v U J H m / h C E 7 R u J 8 A 0 o 1 9 c 3 G P t h 5 W B y 7 D J U 8 / r 1 W 3 L k 6 G F J i R q W 2 N k B F S p s I O I 9 T U a Y M q R J C o q L Z d Y 8 5 7 Y R J g O e r P G x U X X D s u s N G Y F o a W p U O 8 a b d t R Q + 0 x f p + 7 1 4 W H J K y i U n L w 8 d Y k n J D h a w 1 K z 5 w H O C T + M j I z o 3 z r b 2 q S i c k v g 2 b U B c S 0 b R 3 M D + v t F Q L M d Y h b C J c + D y 3 W L N 4 Y b D b F y r T 5 G 2 g Y j 1 U 6 P d 3 3 N S y F Q C E 0 w s M l H R 8 6 p l k r w 2 f D S 0 9 P N a x Z / Q K X Z M c i 3 c + N K b Y x M u 2 z x M b N 5 t Q 1 E y o W 7 b T K U v F 9 i Y q J l T 3 m 8 T E Y 6 3 p / x 6 U i N 9 + w t G J b 9 2 x w a Q 0 y I e A U C w c K M j o 7 R 3 S 8 + I V H d s O x 6 K U Y g 8 G y x C 7 p 3 a 6 h G W c V G f Z 2 6 1 w O B Q I t Z 6 0 E J I B w n i B d 8 N 0 B r 4 F r H e E Y b Y t P x N w K S a 4 1 g u Y F + u Y w 4 T n p 7 e g K P 1 g f k K 6 4 F L t Y u X X S D E x H S b z R T V t K s B v o t C C O 9 E m 5 z 5 O X t y g m J 8 o g / 3 p W P P v x E v v H N 9 w P P L M a n R t O k G 2 5 r D U a y H l L i 5 6 R z K N L Y c k u l + E B e m 9 z t y d c U q 9 x k R / r 6 + v o k w 3 D w U I H b G G M V + o N T A C A c R O D h 7 m R Q h L J z I r T e G E c o g P 6 S C b E c / N y 9 a w G E 1 2 Y M h A K 0 W n a u f / z w e Q F z c G 9 o q 8 H F Z 3 E y E i T 0 y J p 8 d 6 s j T H X G r u o e M q b J R O T L T / l A Z u K M a i o 3 H r Z F S Y / Z 5 b 7 2 9 X d l 1 O w Y F g S f a 7 q i Z M T 8 y 0 5 h h Q k M j k d q l s e 0 E S a C w g S I u f C v 5 Q / o T o M L + s S m C c l O n J 6 3 Z d L C z P r G b i C m h D D 1 9 / d J 7 d N q t V m g d d x g P 5 d 1 V 0 d 7 4 L c F I E x + r y X G Z Y H t 5 Q W u 8 p V g h Y n P h x q t B a D H X m F y e 9 c s D e 1 y p T z N G a 0 8 a K 7 R W s G e O 9 8 V T J h Y H x Z W S z 7 r j p K z T 2 O l s S 9 K N 2 m L G f c D F / i E d 7 Y 4 w j R k P u + p s a v 6 j M b 6 w j U U G i f U h G x O w G q o p t 5 I I 1 C R k j Z 0 W Q 4 d f F 0 + q 0 q Q N z d O z m e B j 0 1 H S H X 7 0 j I S d p V j G y c W c d 6 W 1 l b J I e 0 k N s a x b Y w g p R o h s o u / u a H B 2 E 9 F m p N 3 2 d D G I x U L D h A W N L S Q x T 8 w 0 G 9 o n J M W 1 N 7 a I v m B r G v i S 3 i Z A M K L p v I u P G y z Y J S p p 7 N L s n I d m s l 7 3 d k S o M P Y Q 3 k F B f q 7 T a M J B 3 P m H J s a 6 6 V 0 Q 0 X g m f D Q 3 m L O N Z C q 4 z 0 P d d H 3 9 + v 5 R p i L P z o 8 o h u L F 8 + j T W A C h A q 4 z u l m Q w y G c z W x M j G 1 8 B 2 s F b z O g H U B 4 2 Z 9 k Q R e m j k j l 5 7 F C n 4 s 9 3 s s T p q 1 a O 1 5 X O b R U Q u f 9 Y U J F A e f b u h X z + j S A / b i x G Z D n w J + h y a z i z x u d x 5 U Z v X L T G S y d B r j 8 M C G K W M j R U i d 2 W 1 w c 3 s F l f u V G D M n O w q n t a 7 L 4 s q V a 3 L 4 8 E E N g E a b x U A O n h c 9 3 W Z R G 6 G 7 9 L B X N p d m S 0 7 K r C a B p m c s v Y E s D m w E r 4 G O c A 4 O D s q 0 + Z v f o l 8 u q w B H C F 4 q N 4 a H y O t z h I v v J P q f m h a + b f Q 8 i x n Y 9 7 c 2 m e M v W V 1 W B N d m N R S U 7 w Y r H X + f W W P X G 9 b G 4 4 i D b H + p w w N h P 9 c b F t P r 8 M / i O Y B z g V P n o N A 4 M d G h q S d S i C 4 a 7 Y D w W W E C L c O p U p E 1 o 1 r j T F W c 1 i 1 t z Z / 2 1 X p c + x G z i + C d a W r r k Z 4 A H Y m M d H Z U q F q E 6 6 b i z r Y 3 D G E C + 7 d m a a E i 8 M s i h / Z A y f y 8 X e z U 6 k D x G o I G 5 P E V F A X P K f P T X g h T f 2 + P B m m x 0 R A m N o V w w T l S d B g O O E / e Z 4 U J r E a Y E C R c 2 4 Q k V g M c L S s J E 2 7 t t R K m b G N X W 2 E C t 1 1 J 1 x Y v V K D Q M l n J M 1 p X R J A s w w j W G 8 t k f 7 s x Y g y + m 6 4 L E 2 P U L M / Z 9 x 7 f 5 J y o / S j U M K r c I i l u V g U a 5 G Q k S X J S s l y 4 c F H a W t p U 2 L g x V G N a Q F G 8 N 6 u / q 0 2 2 G w 0 H M M B b W 5 q 1 r A K 6 B 9 2 C 7 g W j X N Y R Y Y X U j a H h o a A L g 7 K C j M y s w K M F 4 H 5 P N 8 + n p q b p 9 w L / T 1 g e a A a K D q F + K w F v I T Q O m 3 D I a M i V F v N K g B p z X V b r 3 g 6 l g P O q 2 U C f F 5 w m y d E k V 7 u x s 3 B K K v M W h y h e q E D h t u 4 d i Z L h 8 Q i V 9 p L 0 G U 3 t 8 V l j Q Y E z 4 b X i B S G 0 R m Z c o L 6 J d U H h I Z / r 9 k Q f N V r s 5 J Z J p Z r x m p I T K 8 e O H Z W 9 r + 0 2 3 + / c m L i E R L V T Q L a H Y g H r b s a Y x S 4 o N F o l v 7 B Q S 9 a t I G F H s D i h Z I 1 1 d f o c w m f j S 1 b b u c H n B E O y x 2 Z y w 1 u I i G Y c N M K N v d X R 3 h a y x m o 3 G 4 N b O / s B r c R 1 U 0 1 u L j 6 C H C q 8 m w h l E 4 3 1 d U p x 0 V D Y g F Z b h Q q O p 2 g Z r Y g X d 6 2 q I E i u 9 t s 7 o P 7 V g a w J i x c q U O T Y g S 6 j n e z m U m t s n n C A Q K T E m w M P n C B F j 2 5 U d U b L p L m Y / S 7 v H k J I U H N g Y F D e K B t Y l P + X k Z k u r W 2 O Z k r P S A / q c i Z t h c W E J i I / z i 5 W B I j k V I B 3 C X r G 4 o S S U S L R 3 N h g n n c W C g 4 E 3 N p W a A E L y Q s W F j S Q o O i A T 4 0 W Q E v 4 C U x s X L w 6 S f L y C / Q 4 b Y E i c F M 7 j t V J x 3 G O a S W g B U P R Y m 7 g 0 e P 8 s C k B d L i + 9 p k 6 f R A G r p 3 V T v x t 4 f d O 3 Y S W w 0 r H c q Z 6 b W g e e N 2 j m S x Y g l Q / u P F C B Q q w V 1 n B a h u I k r q e 8 A R q r 5 7 c n E w G P s M G c B H Q c z V x v m l H z X W P z Q 5 j q E 1 C v E x O T K q r + M M P P t G F N G P U 2 I 1 r N 6 W p q U X p D A v Q g t 3 e L n 7 S V p Q e J T n V m V a I i D t Z 6 k P Q F A E a D N Q 2 4 Y E q L i 3 T B Y 5 r n O I 1 F g r / A m g b m o T M C v I E E S Q W O m 5 3 i g s z s 7 I 1 k 8 I v a 5 2 k T / s 5 F h w / A W o 3 b I E i W i I m 1 s l G 5 x g 5 V i c d p 0 C K y 1 a u j a J U Z C U t 5 g V a n m t m b U p K W j Z U b N T r R S D b b R v i o U P r A I 6 L a 2 w f + 2 F 0 m c A 3 N X p r h d S E 2 a A 1 d F R x 0 7 D I j R c v U O b Y s G / o 0 0 A J + z u G h h F s D R U I U q / R P m i o d 7 d M S E L s r F K 7 S 3 W 4 R Z 3 P 9 y I h Z 6 s K E x o m L S 1 V E z g J B v / k x z + X W L M r / s q v / p K k p C S b h T w h Q 6 N j u t B J D c L Q t 4 s B I S H b 3 J t B 7 k 0 V I p O C H b i l s X E + s I u 2 y s n L V 5 e 3 W y P x u K C w y O z W p W o r q T 1 h F j r C 7 w Z C B T q N U H Z 0 d J q F N q Z 9 N L z g / I K l Y b G I + W x c z F 7 a G U r W A v V W 4 Y D z P P s 0 T u M 0 f h j 1 t C y A G a A F 2 w z 9 t L C 2 I c 4 H 7 g m b j a W P b B T 8 z j V x 4 3 p 9 r K 9 T a r X A M x w M o 1 M R U u 9 R C C 9 M o C p z p y S y + 5 p G l z s H o y T G f L P 1 2 B 0 s C x K O 9 s G Z G 4 3 y q G l S s 3 s / M z s R j o n P n s R p H C A q 4 H R w A 8 9 f Y v S Y 3 L l 7 T x 4 9 W k g I 7 e s b k E 2 b K o y A O D e N n h L J y U k y Z T Q Y C 9 2 m B i F I U C Z + r D 0 D T e J m o i U Q M j Q D 6 G h t l Z F A Q D h Y e o 8 t v r P g c 1 h E U D Q L b C A 3 W E j D R l P W N z R r a t O o 0 W D 9 A 0 u T a N 1 U c j n 0 e c o Z U L C 4 v Y P a X O Y Y w 3 V A o J m w Y 1 K C 7 O 6 k J L m D 1 B Z o T C / I e e S e O J u N c x z 8 C 6 X M N R u V B T b T h L l 0 B 8 p W p r C h g l B M M H j / Q n u I F y Z Q D 6 q b Z c + 2 I j W k c S A Q m b b A L i K r O x Q k Z G 2 U H S U L Z e 3 Q x / x U Z w H O m J P n J M l 6 4 I f f h 9 s f S P p k t S Q l J E p L c / P 8 D n f z x q 0 l n Z J Y B E M u 7 t 7 U 0 K D U D s r E D 2 C 3 5 K Z z Q 1 k U U C E 0 Q 1 N D v e T h o D D C Q H D Y B m D b z e u J Y 5 G Q y v P 2 c y x Y x P R 3 c C 9 m N F x D X Z 0 0 N D T K T 3 / y g R G e A d W k B w / u 1 + z 6 L E O P C g v y p N d 8 t 9 v + m Z y a l G f P a l U A 3 b A C b + G 1 E 6 G h u L 2 x u b y v B Q 3 1 j n M l H D y t 7 1 R P b D D Y M g o v r L 2 1 E t i E 3 M I E D h p B w t n l j Q 0 9 D 2 g 8 5 A U l S A i v 9 + w m z A a y 7 o F d P C Q n N k 8 6 O / r A o N x 8 3 C 4 z 6 Q s L G X e k 3 f x C 8 c r g w a P J Z L T R t D T V 3 J I 3 I z 0 j k X L m Z r P 8 6 r F C F c 5 g 4 B j O n j 1 v B C 1 C d u / Z K Z m Z S 3 P 0 h o Z H j A D 0 S G Y 6 9 G x G X d O 9 Z i f N D K T 7 4 5 z A n g K k u i A k a B T S l q A l C M y 8 j Y R 2 m x i X n N w 8 / W 6 E E D v J z 0 3 M d 8 3 O z M n f / t 2 P J S c 7 S w 4 e P i D J H n r p x t j Y u I y M j s i V S 9 e U / h 0 / / o Y 8 e P B Y t e z O n d t V O J z v d G g w 9 h z C b 7 M q O H Z L S e 2 x A b S G t 3 w f G 8 7 S z l B x 6 X 6 H J K Q X y 2 s e g x 4 q i F Y P p s H t 9 e V 1 b H D B g J P J r 4 A T 1 t N m G B D B e 9 z c d k 3 Z b I j V w J 0 A C 5 Z b p 1 H f / 4 f / / f 8 c + H 1 d w I m U Z M z O u 6 t L i r K 1 S C s 3 x b F 9 U h L m t L w d Y B u N + 6 R 6 E E N 6 v W R S y j P H Z F O u o 9 F 4 V X a y 8 z 5 y 8 q r v n J P t 2 y r 1 c T C w a F p b W u X 4 i a O a w O q H C W N H I S D k c W U b W 6 P F U C G 0 F J w / 1 h j 1 L E R 2 c R Y p 9 g j 9 / E g t w v E A 5 2 c R 8 N P X 0 6 2 N V J K S H O r Y 1 9 u j f 8 e w Z 3 d 1 9 z T g + 3 g / J 9 V Q 3 y D v v n d S 4 g O 2 W z D g f I A + V m 7 Z r H S V m A y C V F h Y I M 1 N L d L T Y z Y B 1 Q B O P A 2 6 5 L b 3 e M z i x f h H 6 9 q s C z 2 n g L M A Q e t o a 9 G / 8 X q O k 3 M j R 8 + r a d 0 g H W c y I t l s f E v t P K 5 f s E r e e s M I a p / V G 2 0 9 L p 3 d 3 Y b S d R m a n S I x 5 r u 9 g B W g z U i w n T A U G A 8 m G 1 m O 0 V D l W T N a P 8 c e Q X c q 1 l u F + Z f 1 t R p s 9 L R P o K V e M K z u G 8 I A P H p q e i E m h O 0 E 4 s 0 x 0 Z 4 L l 7 a F N x 0 e 7 C 6 a M s I 0 L Y M 9 r R J t r l B g I 1 2 C t O T Q u g 2 l p g W P 6 4 C n 1 T W a E J s X i C u x G F l k C A A 0 h d 2 b X g 4 J h n q x 8 O L N o n Y 7 G l h 0 u u O b h e e G F S A + z 5 t i R K c g 0 N f b L 7 t 2 7 / Q t 6 1 8 O B Q X 5 + m O x o b x M G h p b A o + C I y 7 e E V p s F A t 3 e T g 0 N r + w W I U O Q U K o W p s a 1 S P n l 5 g L r t a a D W + q V 9 7 Z u l S Y g P W A e t F m K D E b x L 7 X 9 5 p N o t J s j l t l y 9 Z K a T S 0 t 6 f H v 0 8 e 9 4 V j x y v o b b r C R s 5 y s J q p I n t a U g I 9 F s O F X V X t g 5 E r s q h 1 F y h K J q h j 4 s S o I b E H 1 D m 0 V D L Y R b z I N z v N V P + 4 F u / 5 5 d l Z 7 N q 7 a 9 H C B t O T i x 8 P m o W K N 4 / u R m g Z 7 + s R B J J k 6 + s b N c f v w o V L E m 0 e I 0 i 4 t R E G y / H t g i K W g j M A u 4 X P w y v I 6 2 y e H 6 5 3 Y i Z e u w W q a G 2 d a U P 3 o I I N j Y 2 S l Z W p G u d 5 c e j Q A a V F w c C x 2 u z s x j o j B Q Z 1 N U / n N x z + R i m / F 1 N z T t I w S a 5 Q Q X c w 9 s a z G S n J j J T j O 5 L M N Q g 8 G Q A O B K 6 v p c t e 5 J v n H z 9 6 o p r P C h 0 b 1 h Y j X D d v 3 t b H f k D z A 7 9 0 L 3 s M 2 c n O u s K B t R q g 4 U B P w G 5 f D u t O + X B z x 5 r j o Q m m u 0 G m 2 c N V g I g b p Q b c 5 v y f G i b 9 3 V z 8 4 t R J 6 e o d N L Z J i x Q W F U i S 2 c E s 2 H 3 c N w 1 7 A n c z A m E R 6 W k Z S 3 b E Z 5 + e k Z K S Y n U e U O v 0 6 S e n 1 b b r 7 u k x j / t l + / a t k p u b r a + 5 e / u + 2 T F f U y p h 3 b p o H g Q G y k E 2 R G f A v m A H 5 3 k v p s 3 i + 9 u / + Z F S z W l D y / A e s t O z A F o a G / Q k 6 D z K c / S 0 K C 0 r C U p H w w H H x + d t 2 F C m 1 9 J 9 b N h T C D N U F S d R R l a 2 U l q c L b y W T Y L d 3 4 u a p 7 V m 4 e d K a 2 u b 3 L 5 9 V y o 2 V q i t d q c 5 W h o N V Z 2 K T p f t R X Y / d + 4 h G w p 5 j 9 B N v + t j g e O F A k 3 s R g T J x q h 0 k z L v T 0 x y s v r d w N l D r G 4 l 3 G + N U d r W b m w r g v 7 h I i Z y T j d 2 e k G u h H U X K G A 9 c m 7 g A d p g u K 4 V J s C p 4 t v H c 1 W Z 2 i o Z i V O S k R Q l p z 4 7 r T u u v S H U 0 f z v b 1 + T I / / A S d k h S M j 0 j f b 2 T q U + y 9 2 4 Q a M Z N m 4 s 1 7 g U L u h t R o C K S 4 r M D U 9 W I x c 7 z 7 4 / J z d L P j 9 3 Q R K N I N K / G l u C r H C 8 c A g Q g c c k Q z X R V l F o I H P z 3 V q 0 p q Z W z + n w k Y O y a d N G Y 5 N l y f 1 7 D / W 9 C P f l K z e k t 6 d P G h u b p L S 0 R D Z t 3 i h P H l d J U d E C B X s e 5 O f n y d 0 7 9 + X y Z S O o p c V S V f V U s + T z j D a w j h G O h Y X P o j U n r u e O 9 9 B 9 H S x 6 j e 2 U Z z 6 T J N / y 8 g 3 S 1 9 + v w h 8 1 1 i a V G 4 u k x O W 0 w w 3 P d a K b E 9 + x E u 7 d v S + V m z f p 7 9 5 k Y O 5 L e 3 u H x h A t u O Z + a V x e U J X d O R S l 5 k S Z W W 9 W 2 4 Q K m N X U L F N l Q n v f F 1 a + U Z p h j M S R C B m e X H q x T 1 Y a Y 7 O 7 Q w b 6 n V j R w O C Q O T F D o 3 y o E G 7 i 4 e E R 1 S z g 4 4 8 / M 0 J V o I K S G O j T 4 A b 0 Y e / e 3 U t 2 u 2 A g E + L + g 0 e 6 O N F S a Q h e I E Z F t j d e Q A v c z x j U j U 0 t R t M 4 Y 3 E y P d W + 7 L j t R q u N D I / K Z i N A g I D y u X P n Z f + B f W p H J A S 8 b 2 s B 6 C 2 T J E h / Q m v V M f b H C K + X P p M S N D Q 6 L k M D Q 7 J 9 5 z b z u N 4 I e 6 + c f P f t w C t E z p 7 5 X N 5 6 + 3 j g E R 7 R Y a k 2 Q r p j x z b 9 l / u Q k Z E u W 7 d t U W d O c e n i 0 U A A 6 o w D B W + k x Y B S v I h F A m N h t e u F 8 5 f k 2 J t v B J 4 N 3 f N 4 u T Z W g 8 v W N g / F k + w G D r F w q O J L V Q L P f k h Z h 9 3 Q e n r 7 5 K r Z X V H 3 2 3 d s l 9 y c p e r 9 4 4 8 / l a 9 9 7 T 3 9 / d N / V S v v / N 4 G X b S 3 j O B s M j u e 2 z X + 8 O F j 2 W o M 3 V C F y Y v 7 D x 4 a D d W q w o o m n B g b l W S P M Q y V a m h o U o q 3 Z V u l O e a V d 9 E X j Q s X L m s N W H N z s 1 J C j v n D D z 6 W N 4 8 f W 7 R p 4 R x B q 0 V H R x k b t s f c g 6 3 q R f R i d H R M 4 2 M A t l B b W 6 c a E Q G 2 4 J 5 c u 3 Z T d h l h J U h d 9 e S p s d F K V N s h v M Q E v R o R Y L N C P + v q 6 o z m 5 j N X p l 1 u 0 K 2 I F m B W o P B A h t v K L h y 8 F A K F t s p M N j v R 3 K w O A P C i q 7 t H b t 2 4 r c K A j e G + 8 A x K w w v E D c T R w E 3 k 5 k F 1 i o o L 5 c b 1 W 5 J j B J E 4 T 7 + x l b 7 2 t X c D 7 / S H 2 R D N 5 w c e B A G L r L y 8 T L / L a 5 9 A V 7 E H c n w q U 1 8 W c M z Y j 3 V m I U 9 P z 8 q W r Z t V M 4 a 7 W J f D X U P h o M T E u t B K 2 4 z W 4 v f E g H 1 I + w K E i X u 2 n M 2 I s G N f A i g m j o v t 2 7 d p 6 A T 3 P R s a M c B g + P Q J 8 T g n l n S p N k Y T q 6 G B o Y C e k D Z n N F R 8 Y Q I F p y U t Z c T s H o k x 5 q Z 6 O s L 6 A b q 2 b 9 / e J T v Z j e u 3 t X 3 X 1 u 1 b p M / c q K 7 u X m N z 7 V c 7 Y H J y y h j T N R J r b B Z 2 X / d Q N Y S x s 6 t b S o 0 N Z b V W K A L 1 d 3 / 7 Y / n O d 3 9 Z f + f 7 b M S f G z x i d u t c Q 0 W 8 S a r P i + t / 1 S o H f n N t b C v Q Z c 6 7 o b 5 R n T 3 Q t L V w h I S D i x c v y 9 G j R w K P / A F N p b O U F x S H 4 g y x g e + G 2 l p j d 0 V K i U + S r 6 V 4 C F S 4 d G 8 1 C J 0 c r j G o 1 W d O 0 2 v F U y E J k 8 J o H p w K a C B 2 W Y C H b k N 5 q b x 9 8 r g U G D u n c s s W L R q c m p p W D x 6 G 9 H b D 8 X E K / O R H H 8 i d 2 3 e N j d M s 9 + 8 9 M D e m x 9 g r c c Z o v y b X r l 7 X z 1 t J m B B A 9 + K z q T r P q q v V 6 1 d g K N G l S 1 d 0 z M 5 a g X M 9 9 a / r Z H J s b b g K n z c 2 P q 4 2 G x Q O 4 b p 6 5 Z q 5 r i 9 m b 8 X W q q z c L M 0 t L f L h h 5 + o X e c F p S 5 + w g T S U l P V v i Z d 6 9 R n Z 2 Q u M k r m I h Z o P I F e b C z b 4 R X g i X w R + M I p H 3 l 9 J w L V t s v h q d E y e I t w M d + 4 f l P y 8 n I 1 v l N Y U i x x h q r k 5 j q 2 C t 4 g X N N R h v e r p 0 q f x W 6 4 J G + 8 c V g / g x s B X U P T n T 1 z X k 6 8 d S z Q j u x r g V f 7 Q 2 u q h i a k M H 8 x x a B q F 1 p C k W G b W S R o L I 4 D 4 d I B B A a s V T x G X y S a j f 2 H 2 5 s N a W B w c B E t R c i 4 x i z 0 c B C K R v c D 1 b + 8 F 2 8 n N l h b e / t 8 G 2 y v s 8 c P 0 E g W L t 5 J K g O m p i Y N t c / R 8 4 A 1 z J p / b 3 U v F G 7 u L 5 3 S A R L r j S 9 M Q 1 m g q V b a G P H y k a 6 / c W O F J C U n a Z f X t t Y 2 2 b h 5 o y 7 g G W M f c Y E f P X h k d t r r a i D j K b P 3 G Q E q K S 2 Z d 9 9 C F y x t P P b m E W l p a T V G 8 R 6 1 K 1 r 6 I x e 1 J a P K m G Y c Z L R f b M y Q i c k Z r X B 1 g 6 p d j g 8 U F B X J i N F U 2 C S P a 9 q l t p t g d q y c r o 6 V U 1 V L Y z t u 3 G 5 a / S 7 6 q D 3 a G O C 0 C o 6 W g f E I a e y l D / f C r q 0 a 3 d i o O A Q 6 u 7 o k 2 5 O Y y v X A X T 9 o r n U 4 + J O T V 2 V m a o U b 6 A M 2 u x i z E T 5 + X K W h A p w 9 F q n p G Y v a j f k B l o A 9 h s O k 6 k m V C h O p V N h c B J 3 v 9 S 4 e m s Z 9 p G x o J T z v p v f S e P m 8 K U d u 3 L 5 9 T 1 N Q 8 K 6 R 3 7 V 5 y y b J M A a t z T 4 4 e + a c b K v Y I / d / 2 i l 7 f z 3 L 3 K A n s n P X D v P a H q l 9 9 k y K i o v 0 s R + m p 2 e k y V B A q n W 7 R h O k f o A A p O g Y 0 V 2 F U / P D r i 3 s c Z I I i 9 G N W 5 1 A a M X m h Z 2 d g G N i W q 5 8 e m 9 S 4 o 1 G t c C Q p v 7 L C 3 Z T A t w d A 1 H a v S l c f P o k V q e a M K o 0 G B y N M L e s r Y R t w n U N J W 7 0 v B g 0 m w 7 u c 7 4 P Q N G x O 3 H q o O 2 9 d n I w c E 7 V 1 U 8 1 o 8 K C 4 O 1 Z n 4 p d c k b x + P m B 6 7 c W 3 r 8 X E t g N C e Y 8 M x P 9 Z Z v p h N H m Y q O h y s p K N N B n n Q i f P 4 2 V s c h M G e q p k p E 4 Q 7 c y M z R m x N 9 x n X / 9 m 1 8 3 u + A T K S w u 9 H W X c 3 l P n T q j L b 5 6 Y 7 Y 7 T x o w z Z 7 + b F n J c z I w O q e 2 2 L d f W 3 g / Q k T R H R 4 m K B 4 0 h f J z F s L w d K J c a 4 g 1 x 7 x w U 9 M T 5 j S J t z D N S X d i I R B A 5 d i u P h 2 X p q 4 Z i U t M 0 e B j u G D e 7 x u u f o F u k F v Y 1 t Y u r c Y m K S x w y k 6 C g a A z q U / h L O h Q A c 3 k M 9 G A 9 + 7 c l 6 n J K S k 2 G 5 1 F F L u N / h s 1 / 9 2 0 A L B 9 9 / y E H G Z B i c v m z Z s W 3 V t v x S 4 V D 5 T 2 + N U 2 a S c u 8 3 3 u N t 3 P g 5 d G o F Y q C m t o a D C C s j Q L o r r L 3 P z o B M n K L Z I D u 4 q k u 7 t H s w 4 I l m J k k 0 a U l Z k j z 2 p q N J v B x k s s + D y c F r U T l Z o O Z U H 7 K d J V L t T G y s R 0 p M T G J 2 q i b 2 r s u G o m 7 f s w O D A f 5 K W / O f l v 7 L D X m t B K C 5 / F 7 n d s 4 9 S 8 M A E y q / P z 8 q T I 0 M W m s T y J j I q V 5 u o r s m f L 8 o v e D 4 X p / q s B o f 3 Z z z 6 U / f v 3 a T x s p c 8 t N p s O z g o C r Y 0 N T X o K 7 n S v 1 Y J m o r Q e w E u b k Z E m m 4 2 d R t b I S i D V i 9 w + P 2 E i y I y 9 h 7 0 M v b b w 8 + Q h T O 8 Z Z l H r y R K n 2 S V u c X O Z 1 g z r r 9 v X C G W l p a p x u G A P W h c u T P p U t f 5 L l 9 i m g S R D J c Z k q G t C P v k X d G / N l / p b P f J n 7 9 6 V 3 X t 2 y d n T 5 z S 6 z 9 R 4 b j C 5 b j z X 3 D k i M 3 N L F x v f Z T b W e d C q 9 + y z F O 0 B Q U 7 f r K E s N B R B C + D t o y y D 5 1 M 9 i Q 7 b 8 5 d m X r N j 2 4 W y k + a b y b H y 9 3 7 5 g D p c j C i o M P C D T b B a I E C H D h / U f 0 M V 0 t S U F M 2 0 J / M k P S 1 N P v 3 k V O A v q 0 d c b J w 6 g Y 4 f P 6 q 2 z k p g o j + a y Q v q u Y B 2 e 4 o 0 W i s m f l F 2 R T C 3 O B 2 w O H v o e q p h C v S 7 B 7 b b 6 1 r i h Q l U c v y s 9 s 4 7 U j G p w 5 + h V O V Z x o A 0 J z f a 8 X D J L s H j z 2 t i 5 7 s a N Y / n S l f C A f 2 d z r B M 4 w A H d p X N 2 w 7 1 v c Y g T z k o t 6 o f y v f / d L s K S + b m O P n n V w 7 q 3 / P J 8 z P / o W E G h o b k y B u H 5 K 2 T J + R Z 3 + L W y C u h a q R C 7 h l 6 1 N 7 V I + 0 d X S o Y j b X P d D e l B H 5 f 6 W I h e N i 2 v L M B z X V s k 7 E d j E X 8 2 r 6 9 8 v D R E 6 U y n c Z e r K t r U K f K c k A b 9 w X c 9 F Y Q L Q g L E G p Y D b B R j 5 9 4 U 2 N 8 q 4 U N s n u Z w X K g h s y v 5 z p l M 7 A A N q 3 o y B n p d 3 U d d k / 6 d y M 5 b l b n K 1 s c 3 j A p W U l r q J I 8 e C F O C e j x 2 5 s X U o q 8 I M D 6 5 E m V N D e 2 K J c + Z B b 6 k / Z o G Y t a 2 h s P Z 8 F M 4 I j Z c R 5 9 1 C X b v 5 6 z a H c a H x + R s Y a L 8 k v v H 5 B 7 d x / K w U O v q 4 0 0 O D i s G R V u P E + b X v q p x 8 f M y t m z n x t N 1 a M 5 c M V F B U J z F z x 7 X m z P n z E 3 1 2 l k / 6 y 2 V j Z W V K i w 4 L L / 1 r e / o b a L H 6 5 f u y E H D u 4 P P H K A W 7 6 l u V V S U p P V M Y J R f u 7 M e d m 5 Z 6 f 0 D 4 5 K / 3 i 8 x E 1 3 K n 1 7 1 5 W P t x p c P H / R b B y d 6 t A g F K D e N W P T 4 s i h H N 8 L n B s k M P P d J A i v l J 3 i B a U t Z K f j S M E b 6 A Z x x 5 / 8 6 G d S u v O E T C R W a H k Q Q y C C 4 U D Z p G o l 1 g 3 e Z L y 1 6 4 k X I l C T E 2 M y 1 / i R k O J C u o m N G Q U D c Y m + s S h 5 2 J k S e G Y B F I o x U d A a m D R 9 s a 5 O U k t G J 5 0 h W C B x r l f 2 l 0 f J R x 9 9 K g c O v K 7 D 2 d 4 4 e t j 5 o 9 F U j x 4 9 l g 6 z M E e z j k t s 3 O I d l A F t Z M Q z + d B v 9 A 1 I M M J 0 t I K N w r m h B H P J P t i 1 e 4 d U t c 1 J 4 8 B C x j Z K I 7 r 1 Y 9 m 3 / z V 9 D T O t K i s r t Q w C e j U 9 4 w i a N 5 k W U H J y 8 p 0 T 8 9 8 D b f 3 h 3 / 1 U f u M 3 v q d a x J 1 L B y i E o 9 w A o X v 8 q E q D 3 q u F d S b Y 8 3 A D p 0 r 1 k 6 e S m Z W p 2 R a 0 D q D w s q S 4 S G N E H K / 3 f V B Y + z y O H c r 3 E R q y T M g y J 0 P d D d g E T g l s 0 y f m X C K j I 2 U 0 Z a / 0 D l N j t r J w w I a u B A a m U d l g m c 1 6 4 Y W 5 z d E m 2 B q n T 5 2 V 9 9 5 / J / C s P 5 5 2 R U n d M m X G b q D 9 q O q l 9 B n g f n 7 k o l h v b x q W j s 5 u X d F k S a C h y M A e N I t / 3 N h R 3 / r 2 1 6 W 1 P 1 I e t c f o o k e I 6 I H h X g c Y r l f q Y 5 a U 5 5 f F P Z P + r n a z S 6 d r I m m X 0 V K 4 f u H 4 x K V G 0 v Y b A V 9 4 T 4 W h u J t y Z 3 X n P f / 5 R V 1 c J 9 5 6 U 4 1 q f u c 5 d u Z 9 + / Y s 8 l r R P + L K 5 a s a L m h t b t M y j 0 s X r 2 j c 7 H u / 9 q u L X O E I A M f C 3 9 8 3 m s F 6 z 1 Y D g q X u H u 5 Q S T / B A v T J 0 9 h f k L 9 b e H t q c L z Y S 7 a k n s 3 Q H Q u i y + z 9 + 4 8 0 H 5 M A 7 u v 7 9 w W 1 l f z A Z 0 V E O F 6 + F 4 E X K l B c P C L 0 N v b g B z + q 5 M Z 7 W y f V O V D V s b D g Q I H Z k X c W m V 3 e / E 4 n p K t 1 R g C M K f P + t k l N b z l y 5 J D M x q R r A J R F T r J s x K x 5 f X S c v m d D 1 q y m Q i 0 H q A U U w w s 7 w e N T o 0 n e e 2 8 x v Y J i W I 2 5 y x x f Q a B D U z C w a O v q 6 6 W i f G m 1 7 K 1 b d 1 T D 1 z 2 r k 8 K S Q v U Q f v D z j 7 S v I E L 0 z N A r B M h L D 9 c S 1 l F i Y 4 D h g P c + f f x E K r d v M 8 z A b E R m 0 3 H T 3 K e d 0 d r 4 d D 7 W Z 6 g f e Z p k s l j t j D 3 q L l R d C X z W z c Z Y 6 R l 5 M Q K 1 + u 1 r F Y B y L S d M 7 v a 5 x I D c Y 2 c s a N V k b S g 3 m H d 6 6 o n z / n N P Y y T R G K P g 0 r 1 2 T T n 6 6 x 8 8 U 7 e p j T c w d e P w p k g V u P f M z 0 r C B P y E C V C w + P G H n 0 p Z W b G 6 7 d H E Z C S g 8 a w w g Y e t 0 c I g u O X A D k 9 b M b J D 3 C D 4 S 4 C a G E 7 5 p g 1 S U / 1 M Y 2 P / 5 a 9 / T z U j K T z 0 a d 9 v q O 1 6 g u O j M U 0 4 U C 1 k W A H v z Q y U 4 F D k 6 J 6 / e 7 s x U o U p L 2 V W 6 e I z w 1 L u V n V p / R X C x M B y q r n D E a b 4 Q P O f 1 1 0 T M 9 Y b L 0 S g 3 t r M c G c x x u b y j R i J V F t 1 3 2 y 0 E D 0 o v K C N W K 2 5 2 H 5 g 8 T K y h i z 2 3 h H n v c M x p V p p + 5 0 / 2 i r J h k O 7 l 7 P b / e 6 H 6 Y l Z + Y P X L w Y e B U d W V p a U G 6 H q N N T y + r W b u n F Q 6 e s d d s z x u S l g M B C o Z M 3 e u 3 c / 8 I z I u K F 9 Q 8 Y g / + V f / b a G E K g C Z q E 1 N b c Y z f R M U l N T n d z F F S h X K L B a C I o F P Q X u a Y T Y O t g / 9 H 7 A I c L r L a C J b v A 3 j s n W R t k W 1 o C 8 z N t 1 k 3 L + W a x 0 j Q Q 0 n v k o B I f O Q q N J 2 3 S j B L C D h W 8 J D Z a i u / v c r z d 8 v w m / / V q C + U 7 c 5 6 l A 0 3 w / z A Q 2 f 7 u j u 3 d 2 N z 4 z W i j Y 3 / g O / u Z t / 0 s e X U J J k h Q a u r U 1 f 4 F y s W i D f R a I j o u U f 3 5 x + R I D w M K m B P / Y s S P y 9 W + 8 p x k d 9 P 1 r 8 p l 7 x M A 4 o H G r Q O 6 Z H 1 K S U 2 T X r p 1 K J 3 F 2 x M f H 6 e J m g W J f P X j w S D M N S k u K 1 b Y i h / F 5 g S Y B C A B U j K C p O g y M r W a n M A K a 1 l g H A v Y f g g c 4 t i G X Z r U N / 9 1 C b q k b w F 7 s n U h a F A / q 8 L R L s L O O p w f q J a r 9 r P 4 e K q y 7 / P Y L y j Q H v g L l n k N q R x 8 + D + y a x b g O h j N G 6 F Y D + q 5 B 2 / g h t Y e x n V 6 w g b J J Q P e Y h 2 q 1 o G F W v n 0 A 3 Y i J X / 4 C s M j x s s 3 x X 2 A 3 B s V F R V J S v H R M z c T E i J w / d 1 E F i u y F Z 8 Y e w o H g V + 7 B Z 9 n u R T S Q I S 5 F z O n M 6 X O G x h 5 S o U I I E u I T p L x i g 1 L N 9 Q D x H 7 d Q k F V P 7 h 3 n A I g Z c R w I E B q I J F W O h S w S 9 / u A u w 0 0 1 + 6 d r V P z g V Z v U 0 x w + u G k f H S t w 9 D p U n n n 7 S O 6 C Y Y C h k j s K H A 2 q 2 B e 2 v X A C 3 N K c E r D Q / 3 y t b 0 J Z u E 7 z w G + H M O d R b 8 g e g 4 2 G D s K r x 2 C w K R C X J 6 t j 8 / J t 7 9 2 d I n z g v Q e K i y D 2 S j M 1 d 1 b P C V X 6 h Y L H K + m P y B / R y B m 5 7 A R n L 9 Z D I w a r d f b M r 9 g 6 d F A m X d h U a G W a N M / 4 v K l K + q S 9 0 s + d X u l I i O c 6 Y 3 e h d b S 0 q K L l N J 6 s u E B C 5 b q X w Q P o a L r 7 Y G D r 6 s d i g a h p o u W 0 t g j J A + X l B Z r P O t 5 4 N 4 U g o H z s Y 4 D 4 m g x U b E S G e 2 8 h 1 m 3 k 1 N T k m O E D k A V / W b f e r 8 H p s B G N 2 j u 3 x X P i C I 8 r 2 9 X L l D J 5 b x 8 a c b u L s 6 Y k S J X m l c 4 X s H n x Q s T K D c q k p q l d m T p 7 k 3 Q k + B n s P t J L I L A H n l g l 4 1 g D L l i C t y M 5 e g b Y I L i h I d h 2 f d x 0 x B q 4 l u 0 e W Y 6 3 b 3 m G P 1 b W W K n Z C Z O z + e f s R A 4 F u J B 7 r j R + f M X j U Y 5 u O p S c n b 5 p 0 + f y Z Y t m 9 X D d e f W P X n z x N H A X x c D q k g 2 B f T S g u e I D d k + F i s J B / Y O 0 z p 4 B U F Y N g x b h h I q d D x P Q p J E R D n 9 + i i j I X l 5 Z m Z a P 5 s y D F p R W z i F g 9 F K I d 0 e P i j / R S N I f o y B U z h R M W a u q 7 P T u Q X E n S X O O 8 n Z c 4 M i Q + K W L w p r Q O j C R 0 m + 4 + n j Q g 3 1 d + m N Z 8 f b U R B c m A A 3 g I b 4 4 E j 5 Y n q w k j A B h G l X 4 b S m + t j v s e + D F t h g M V S w s W N C M h K c 7 0 h i H E 1 O t i 5 O u 0 C x B R A q N / A m U q S 3 W v D Z D + 8 / 0 o A z 6 U L H j i 9 0 + f G C a 8 H m 4 g b P Y f O g t W z 3 2 b t 3 7 q m g o e 1 o y I l n T T W x W f z E m D g P U n l m z O N w h Q l o r 8 J A / 0 O + g 7 b J f P 7 o i J M 6 x E A F w H N Q Q X q r o 7 H c w g T I E A 9 G v / G u I k z Y n 0 + 7 F r + P q e 1 H y i c 1 d n j M M A 1 i m B a 8 3 q + F 3 X r i h W s o 7 J x j G x d 7 g m j 9 F U p 6 C k 0 6 o E V 0 P x q Z n J O L z 9 Z P l Z M p Q Z Y E G K j 5 V L 7 1 z g E 1 w C 3 Y i Y G b 4 l V X P 5 O K i r I l i y V U Y E c x n p R Y 0 3 K a B T A g L j s 7 U 7 8 f w S L z I i G B Z p B O F g J U D O q I 0 I c S M 8 K e 8 a b 5 r A T s I W + D F H L t 7 B A C A A V k M I D 3 f B B y 3 k 9 / R I 7 x R m e h O f f A H z 2 I j 6 Y P f o T W O e H l t c 0 q s b m w j W u M X d w 1 H K X C V d M d r W l G 2 L Q v 0 n a y e K H i C 7 3 y C h O g 5 1 4 o 6 O z o U m E C l 9 Z R m I A V J r C x M F X p C 6 A k 5 P 7 9 h 2 r T e O 0 l O 4 l j t b h z + 4 7 2 V V 9 J m M 6 d u y D D w 0 P z 3 4 + g 0 7 S T 6 l X 7 X o S I x p + h B m C t e z w Y y G a g H b Y F B Z a 4 6 t F 0 a J 9 g Y B K j 3 / m M j 4 1 K p h F G a s g Y y n 2 y M n g C 8 P h 0 5 L w Q 2 X + x l 2 k + O T g W I T s M 6 + A I i F 1 C H Z d L F 1 t v v D C B I i O c v D s / r N T A 3 w L b B C 8 X I B g 7 + P g n + v t 6 o q v m k j x 9 V q e B U 0 r H L 1 6 4 p F M u 3 N 2 T L P b s 3 a W e t 9 W C V s Q r C R M C y w Z E r M q C d K d 2 Q 6 c A N V o s c K j c 1 a v X 9 L l Q g F Z s a 2 6 W 1 h b / I Q P Q Q o 6 P T Q N o 8 q o R M q W M g W N G u N z a C c 1 j X + 8 G 4 2 y I D d J s k x A A 4 1 J x B A U L 1 3 i d R A z b o w 8 J M c d J Q 9 N P P Y l T Q a J l 2 B e N F y J Q q G J 2 F D 9 Q v k z 1 J s b 0 S q D 9 7 5 k z T i w C e p S d n j j v M k f A o J N e o B X n X 7 N 1 U s M A 4 e x d r + e W y P 7 X 9 8 r p z 8 6 q d 4 3 J E G 3 t z j B m L 1 g c t D k j d u T 3 d / D Z H 9 V J 8 5 3 F t o 8 F P Q f x k A U D n 8 l I U I K 6 X l p J k u n V y 1 d 0 C g U L / M G 9 B 1 p o G Q 4 K i o u l s G i h i p b v s z E m r l l T f b 0 K k j 4 2 3 + G d z 2 R j T A g R l J O p j z b Z F Q 1 n Z w U z C d J e H 6 6 Z n b i P L e Q H G 6 O 0 m H Q 5 l h 6 3 G Z s t 8 P v L g H U X K N z E 3 v k 6 F j / 5 8 c + k o L B Q W + z 6 Z V n 7 4 f 3 3 3 5 X e 3 j 7 N p H 7 L l U X N D a c q 1 i s s Z F 1 b s J G e 3 D I p e 7 J a J C 1 m 2 J k h F P g b Y J 5 q g c v d 2 t N S K x d / f t M s z F L J y c 3 W m F F m Z r r k 5 + V q v t 2 T J 9 V L 6 A 4 L b e / e P U G H K r / 7 e + V S v N d f I 5 N N c P P a z S X C y H d Q E k E W B j 0 1 / G y 0 m u p a O X j 4 k I w Z K g o K i g p 9 B 8 q F A w Q E o R k 0 t i s J r U y 1 D 4 X S I n S 8 D o e F B c M R a J 3 M u R A o t s I H 8 P w 5 l 3 F O M 8 J X A p 4 9 h q q 9 j F h 3 p w R z b 7 2 N S V g w B C d 3 G 4 q 0 m g 6 r Z A U Q y F y u D G T Y M E O K E 8 s M r / b 2 / X v 0 6 I m 6 p t 0 Z 3 X j 2 c J c D U p I I C v a b h Y T z g Z Z l v J a W Y 2 + 9 / a b z I g M W B 6 U V l E e 4 F z n n d / 7 8 J T l x 4 l j g m d B B j 3 C y y d 0 L j p g X g U 3 y D / 9 w v 5 M K 9 f s 3 F 9 z p u L y Z 6 0 Q B J T S L T Q I B I C 3 o g w 8 / l W 9 + 4 z 3 V Y P S z e 1 5 w b u 5 j 8 4 P N K E c r + Y 2 Z A W g v 9 9 A 2 u z G d q o o P y W P 7 s m L d N R R p 8 3 / + X 9 + T j u o R G T E 3 m D b G t E c + + c 7 b q 2 5 X P G j s h J V q q p L N f Y T m + T X R h M a 4 h Q l Y Y Q J b 8 6 l N w q 5 I 0 9 a / L K C L F y 5 r Y 0 g 3 0 E b v v X 9 S B X Q 0 k A X C w r h 2 7 Y a 0 9 k f L h w + i 5 i u O Q w F u Z 7 L x i U F B m W g I C c W j Z T L H + 5 f / c C G 3 7 2 / / 2 8 f 6 L w v 8 0 c M n x i 7 p k 5 F h x 1 6 h h o g F i 7 P i 2 N H D q t H J o 3 x a 4 8 y B e h 7 Y m V J + w C 3 P + S N M O D k Q J r x 5 d I H C e z m v 3 c x r + N 3 a V 4 w E G h i L M o I U O V + G 8 6 p i z T U U G s l d e 3 K o a F z + 7 O 1 L E m U W + A 9 + X K n G v D V i V w s a N h Y W 5 q + 4 U w Y D O z p U Z j n 3 t i 3 S e / i 0 R S K m h r Q 3 9 3 L H 3 d j Y L H 1 m 4 d I + m I z z g l 3 f 0 H l E 4 I 2 K y a A G t x e 3 b 9 2 R H T u 3 q 6 A g U B T v z X t B z U f 8 g U t D 4 X G 8 c e O m H D z 4 u v a 3 6 D T G f X 5 h k W p V P I A M z K 6 p q Z + f W o E T g b j U 7 t 0 7 l 3 g o / d D b 2 y 9 x 8 b H a s I X z B w z y L i k r 0 9 + 9 s K 5 6 e k L E R E W b d Q D t W 2 x n 0 d O c Z G I L r 8 Y 7 X W W E 8 B W W q T U R K H Z 0 S t a B b b D O E r B R 6 7 H B K R k 1 i 5 I W V W s B K F B 5 e b l q k d U g F I G 6 V h 8 t B z d M a x 8 3 O w M 4 V L B I s H l u d z k G P m U E 9 N M I F Y z o g b 4 F 6 z h E L A 5 h I 4 e O l m n u B c n O T 7 q P H T x N Q x q K E x k c x / R G Q B e i 8 2 c v y c l 3 T 2 g c q L + v 3 2 j C L k l O S j R 2 T q 4 2 P u E z + U H D X D L v b 2 1 p 0 2 R c c g j R p O 6 Y F d Q S + 6 + 9 p U U K i 4 s 1 c R b a p 0 P U P C z E D q V 2 A 8 3 G U D u a + D 9 o j X m p n A z h Y k 0 o n x U m g D D t S G u U Y x v 6 z c 2 Y 0 c U V n U i N j 3 9 W 9 a q g k r S + l x 1 h I l + Q b q z h 7 p g s x O y s b K P h H I p D B g D p M u 7 P W a 4 u C u 9 c Q 1 1 j 4 N F i Q K m I V 8 U Y y 9 w r T A B q S G m F B e 5 + q o K 5 Z B 9 9 8 I l 8 / N G n K q j f / / X v K K W t r 2 t Q j + l r + / b I 1 u 1 b N U i M p u F z G Q T H v 4 n x C T r 5 Z M c O 5 + 8 I U 1 d n p 3 6 + z s Q y 9 I 6 c x r z C A h U m A O 1 L 8 m g n 4 B Y m S / l 4 P / b q w 7 Z X W 5 j A m g i U G 9 C k o s I 8 p R Q E G r k h / E T F R G u J 9 1 q A n u b W i F 1 P 2 I H a 7 s L H U M E C 3 l 3 E o O S F 4 4 T O 8 H O 9 M U b 7 b P s l b a J h r l 6 + r g I T D E P G H q K 0 w i t M F l x 7 m 2 p k w e u / / s 3 3 Z d f O r e q B p M / G b U P / 0 C L E m B 7 c f y g P H z x S A W S 0 K u + P N H Y P r d Z e 3 / + a 0 s Q M l y e W 5 F f u A X a S B o / N C b v L 5 Q H B Z y + Y b G h h X f A 0 C r 3 R n r u i M 2 K Z S / L S Y E 0 b X b K I s B f A Z 5 + c N r s U k / N m 1 E B l N y z b U K o Z 0 j T y s B n V q w F N T l Y a / b k c 2 I G h K M E W p A U N J J 9 1 O 3 d x e D J i k Q s + V J B 0 S 2 E j / d E B i w a N F T c 3 I k P j U z I 8 F S d p C c a Q N 3 / m d N A K t I 2 2 V K n V 0 C A o p z 1 U z j n O 0 L T u n m 7 f 6 m d m 2 q a k p S v l 9 v O w T Y x P a L r Q 1 q 1 b p F i z 5 Z 3 M d + w l m s V E R U b J Q F + v 2 m H j E + P q 6 k 5 N d e b j 0 r K a u i x L 9 3 g O j c j 3 R J t / 3 f c D Y Y O d I G w 4 S G z G R p w R d t 6 D V n J T 7 h p P j p 4 f X g X v 3 / I r K k y U u P q f x c R G K 3 X B b u K H i 8 g F x y i 9 e e O 2 X N e G j q s D X Y V o w / s i s C n H E a K O Q O V o u E A I p / q e B R 4 5 I N I f O 3 h X N W 3 P S K R c f B a r J S x o r I c D Z f J Z V Y L + z g 8 2 x e n q u E U L r h D 3 + O T i A D A a h W n u Z C B A + S 7 + f z X q Y v + z 7 1 y R P i N 8 C A m g l o n N B M F j w c / N z k h K a q o c O n x A u r t 7 t e 6 q p r Z R h W 5 W o n T j A l A y h I n U K D / Q p o 2 J 7 A g P 4 F 7 z u W x a e P E Q U P U A G i G y X k g L C k A t l u v P / i p g z Q Q q O X Z O n R M r o b 9 v U N 4 + e U L b A z O i 0 0 b i w w E 3 h d j Q k 6 q n C 6 7 Y d U J Z 5 s I 5 0 U d 9 N T l i 5 a W F 5 s S f y l G j v f c V T 2 n b 6 a 7 O b v k v 9 i 2 l k j G x / p q 7 1 m j K T 2 4 P y 6 n T F + W e 0 f K p g V G k C A 8 L l Q 2 L 9 0 6 Y h Q p l u / h v y S o X G W i Y k R / / b r O 2 4 r I J v Q g S v Q N B W X m F e h Y R s v H R X O 1 T U V K c L x 9 + + K n m T r q 1 z v 2 7 D 3 Q C v B / s g G p 3 b M m i r J w h 4 Q n 6 W Q g Y A V / K N 4 i Z U e 4 + H b i m b 1 d O y L 0 V 2 h K 8 7 F g z g T r o m h p x 7 e o N 2 W k 4 t x / i E x f o A s O O p 2 d m t V N q u G B R D J j d F E 1 F / w Z q k 7 D R c F / X 1 D z T R b Y W i D D 7 9 N S E Y 4 v Q R a m l P 3 y B w i 4 5 v D N D W h q e S u R 0 j 8 a Z 6 O T D W q V s x V v D E x T x W b J l 3 5 u S X b Z b h i O N k B p o f w f D h R r r 6 n S U T k J S 0 p L x M l 0 1 Y 0 Y j D e q i p i 0 X i 5 o 6 J d z x C B I N K 7 l e E 6 l J 5 l 5 U y e D Q q D o u j h 6 z P Q y d X D 8 G W J M d g j a 0 w M O H 1 / T O 7 X t q k z F f 2 A v o H Y W i B M w Z s c P R d Q 5 F y p m a 5 E V O C G w k 2 w v k V c W a 2 F B 5 K T O L G t Z X V V W r s P i B h o 7 u g C 4 0 I t t Q w j t 3 7 m r 2 c i j F e Q R S S a w k 2 w E K g m 0 G f S I f c P u 2 r X r z q 5 / W 6 I 0 n C 9 s L b C g 6 o U 4 Y + 4 H u R O 6 f 3 p 4 + G T O 2 A w O z n 1 b X 6 O K v y D U c v 2 1 K 4 u I T l a I F S 6 V a D t i M p A K x g K e n p n V q I M 0 h A S L K 1 I 2 6 E E b + j 0 5 F a p + F k k z n G K C i K U Y p u M v U q Z 6 9 8 O 8 X F v Z v / U 2 p F J Y 4 L v y B / j 5 1 q / P K P k M D k 1 P T p b N v Q j q m c m X O v D 8 6 Z 5 / R a j c 0 0 T f F 2 E 5 e s E / x P T T W Z F I j 9 h T C u M H c A y j + P a P F 3 H O Q N T Z l X k N 8 s q F j U i 5 9 9 m P p i d k h H c N L 7 3 P f W G T Q c T O v C t Y k D j X 4 8 D 9 J a o r j I u X i x k T H m N 3 s L X 3 s R U d n p z a j 9 w M 9 E y I i I 4 J m U O C R a m 5 q U W G 1 N 8 w N m m i e f G f h e 6 G D t 2 7 e 0 V Q e u 3 h B K H E o z s P 9 H f e a o 6 X d 7 K q A D I z n A c d F R o Q 7 f 5 E C O 2 8 S a D B s z Z v W U g U A F S x O H T X n E i M N t T W S V 1 g s w 4 M 0 d U m Q J L O Z k D 1 h 6 R 1 0 E K e A B Q 4 P j f u Y c y W T g d Q m f f 7 K f 5 A f / I P f 0 t / 9 g E e Q D J K s n G w t J P z a 1 9 / V a 0 n N U v + o o c a 3 G i U + c 4 M k x 0 d L T t K M N A 1 Q d B h 4 8 5 c c a y J Q w w M 9 8 p 3 D o T X c J 4 6 R n L w w 3 8 k L e p w 7 j o w s p S Y W l H v j + U p K 8 g 9 2 A q p U M Z 5 L S h a X 1 6 O p o C S V R q O h s U h d c u q H w u P r t o 8 F N l B G k F l W o Y B N x T 1 e h n 5 9 L Q P h + Y Q j D F k y I i 8 x k T N S m V A r R a W l g b 8 s B j Y W t N C W p L u B T T g + v X R j G u x t k 9 2 b c 6 Q y d 6 k m R m N f v n R N J z + S 2 q S D C g w z e P K 4 W t 4 4 f k K u N 9 B I d O G + F a T N S F u Y 5 / Y q Y 0 0 I a 3 J a V s g u T a g C X Y K C A X c u 8 Y 5 q Q 7 c A h n S t s Q 8 Y g 7 K c M D m Y k x y f H D 9 o 1 k G m w i f E y 6 l T p 5 W m B B P o U H C 9 I U Y D v u E A r U S G P M 1 c 0 O B W m O g 7 F 6 4 w A Y Q J p C V E + A p T c 2 O 9 j k u 1 t w U v n A X a g s k m f s I E U j M L j K 1 D 6 l D g i Q C u G E H q N J v B 0 W N H 5 M p l p 0 Q F y s 7 G B 4 2 l t 4 N b m A 5 t m J S K 7 P D p 8 a u M N R E o Q N 1 R K E A r k O O 1 H H h N T k 6 W 9 l b g 5 t O W O J R x K N Q S 2 S H R f o g 3 d k x x U f G 8 x + l 5 s B L X J 2 W H m N K p z 8 4 a K n p O z p 3 9 X B N 6 j 7 x x e L 6 s g s k f 9 1 v C E 0 w v B n w y L q B w x a U b 1 E l R W + P M z x r s 6 9 e s h r a W J i 3 E W 6 l 9 G u l S 7 i 6 t N P F k 2 M P G j R t 1 Y 2 P a B 9 + D U H E 9 z W / y + U + 6 5 d Z v n Z a H v 3 d Z 4 2 / E 1 9 C + o S L U N f Q y Y 8 0 E K l S w k B m J v x K g f F A 8 d s B Q E Y o L P S N z a T A 0 V B w s 6 J L x w Q W 3 8 e k q R x j w M O L t I m 8 O 4 A 6 m W Q v U 8 x 1 j S z I 5 4 8 3 j x 9 Q l b U G P 7 t W O 0 X F j y m g Z t 3 1 C a T 5 x H o v N W 7 Z J R 1 u r Z B m 7 l T 5 5 9 w c X K n 2 X A w L n 1 p z x i c k 6 Z M H i x o 1 b O v u Y c n y + M 3 k m X + 7 9 g e O t n W g f k 6 u / c U b j a H 7 d f 4 N h X + n k o n Z h r y J W P F s G V o U C P G S U i O P V W Q n B Y h l e T E 5 O h a V J a F e 8 X v j k 4 1 N C q f k 3 9 i 9 k S t M l 6 W 5 T p N T X 1 u t x Y q f g s m d c 5 b Z t W x c d O 5 k C V U + e y u 2 m G L l r t F I 4 P b p X A l 8 z P T U p r U 2 N q o X d Q V O Q V 1 A o k 5 G p u s D D Q V K s c + / p C c 9 o I a Y + o p H A N 7 7 5 v u z f / 5 q 8 / f Z x D f 4 + v t y g z z 8 P a K G t m S U h Z u a / j F h R o I Y n V t 5 h R o b 6 J d Y s G L x W F y 5 c n g / W M q 8 V s H t D g d A g / D s 5 H t o u x L j 9 U A U K N / h K 3 Y L Q H C R x r g a M a s E z 6 M 0 n a + q e 1 H I L a A 9 G + q Z N G 3 3 H 9 X Q N R 8 p I 1 l v 6 7 2 q z L o J h c m p W M 9 A L S 0 o 1 n G C v O 2 B p 0 t z z h r H 7 w g U d h O + 1 R E t N V 5 Q M m X W Q m Z U h X Y F G L d i l b h z 5 p n / c M V Q U p s 1 o 7 w g m c L g 7 F 7 9 q C N n L 5 5 4 c 6 M W e 4 i m d m m B B n I i y A A r j S P m P j Y t V r 5 q 9 C b S 6 Y v F Z o I n w 7 l G S w C 7 P L o t w 0 J l 1 Z U c E A j u m Q r v S I G R m 9 O 7 e u 1 v z z s I B X k I 0 M B 1 j O e 7 a n h g d P w o o T D y 5 D E 3 h m u H a D n X e 1 W q A 7 X G y c k y d A 2 g Q W o r h B w Q k 9 q 5 V B 6 C Y 9 l N y 4 s Q b + j 1 M K C T E 4 c Z / + N + u S v c P j W A k z M o / + u T N J c M S l o P t D h u u F n 3 Z E H J g d z m p y 0 q a N e p 6 V i t y E R q a Q l 4 y m u p r X 3 9 P s s w i R z h w K p A x w I + 7 t R V D 0 B K S E r T E m 9 Z U j G M p M o K E 6 9 w G e e m J D t 0 K h r / 8 6 U 2 J z 9 k m B W n B j x L 3 L k F l v x G W K w H j m + z s G H M 8 D D z o b q 6 S y a 6 H k p 5 X r l 4 t v 0 A v H j K 6 8 U C X 1 n v 6 A 2 e d l z q n n X H R 0 O T 0 p W U 4 5 0 m w e K 2 S S u O S M m R u u E W 9 s H / x 2 / d l z 6 / k y e 1 b d 6 W x v l E T Z x P y 5 + T w D 7 K l 4 K 0 5 K S 8 r 0 A k a o c K 2 w K b R D u s p H N v r Z c K a x K E i R x p k t u e B u q x b W 1 q 1 v z b 5 Z h U V 5 R p z 8 g N V r Y x h Y T o 7 d A l A C T 8 1 t s q 7 7 5 9 U T x + x J 6 L 1 a B S G j c X G x G p i L O U G 5 J U R X y G t Z T y u V D r 7 x y V / w 0 5 5 d 6 u / t i B F K S 8 v z 3 x u + L Y L 7 8 V O c M f F E D I y B c a y 3 p S 3 N k + r p m J U z Y V n z + 9 o W A 3 i o + f k u C u x t L + / z 2 x I c T p z q W X 4 + X t J W K Q P X 5 P E o v 2 a + b A p a 0 y n b V B V D M a n 8 A 6 K t g v A t Y 4 3 0 e 0 w W Q m v l 0 7 J z c Y Y 1 b h Q Q N K V X j W s S e r R S H + r l h 9 k p S f p 4 q e r 6 e j o i G Z E d 3 R 2 y e f n z s t 2 V y o S i / H 6 1 e t y 7 M 2 j i 7 Q V C z a / I E 9 + / r M P l V J E m i 2 L K X 2 k 7 Z D W Q k q L U h n z f o S 1 u L h Q i k u K Z H N p h t y / c 1 u O V M Z r 3 Y 8 f 6 K t A r C Q p i I C 7 Q b k J Q k T J C T Z f c 0 u L R C f n L 2 p T h i a A z j 6 6 / H O p G a + Q h v 5 4 a e x b e U c m w 2 F g H X Z f H C S l a W M a X y O 9 i O I + 4 m 3 3 2 p K W Z R d + C E Y Q 2 U + i Z F Y G p p K k f z x a Z z q N d V V p o e P 0 + K x 0 j Z n z n x y U 9 t Z 2 T Q d D O 4 Y q U H S E p Z M R r 4 8 R Y 2 v P R U p 2 s r E N z X n Z F t m v A t b k z i b m b p f I g q P S O R I v M S S C H j m o b u J N m z d p j c 1 7 7 7 + r 7 l W L u 3 f v y 9 F A n w M L u D / O j O G R U c 1 c 3 l B e J h m u N l h W O 0 A Z 3 f Y X C w g B z U + P k r Y 2 p + + b H 8 g 1 C 7 V k p K O 9 U y e s A z o s 7 d y x X W m I F 7 V 1 9 V K + 9 1 0 Z N R t K M D A Z c X f h Q s b 6 e j a u v 1 C f L E 8 e 3 t d + 4 m S X g 9 X Q P S b b + w E H X 2 6 a y N C o 4 / S g 6 r h m w N F O U + Y + R I y 0 6 D 2 0 A w 4 C D s G Q Q E d Y a D J x r C u / d U 6 u / d 5 1 6 R w 2 Q u V z 3 V 9 m r N l W y c 4 y H F 0 k W 3 f u 1 c f Q N x x u C A I F a m Q 2 U 2 7 N S P z m J q P R A m k / l A 5 Q I 0 V K E o u X 3 L D 3 3 j u p H r V Q 4 l U A V / X x E 2 + q 8 w D h 8 m L G 3 K k P f v 6 x s d N K N P M C b x / d l 9 y v 5 X h x + e u / 5 n O K S o p V M 7 k 1 q x c F Z m f u b 7 g u 3 z t e q P 3 k t h j h e X M j T T U n 5 n / K s 4 x G e k F e K 5 w P m 7 Y s H O 9 q b a f J m e D L Y t w w j 4 T E h a T Z 1 N w K 9 S J e / v y s D E 7 F S / t 4 h s 4 x D t e 5 g I Y C 0 S k O Y 9 n 2 2 x v N C Z D d / 2 r R v j W x o b z Y l d G k s R A 6 A N H t F e F 5 / L h K X c p 4 + F i 0 D B m D s j U 2 t s y P / b 9 l D N y c 7 C y l c T d v 3 j b a b Z s 6 M 5 Y D n 0 X p N p X B u X k 5 6 t B w u 8 6 1 S c m V a 3 L 0 6 B G 1 n 6 4 Z q o l X k V Q k G k c i 8 O V G G x K I 3 b J 1 i 9 Q + q z U a 9 p C + 9 z / + 1 X + S 3 / j N 7 + v v w c D 3 3 7 x 5 R z s P B Y N 7 c P V 6 g z 6 E G X P N 2 r u B R Y 1 t F S z F a D W g I v t G Q 6 z 2 D 3 e D A W d H z N + Y V m n H y 4 Q K b C b 3 9 T m y Y U J u N l M n 5 Z R 0 e E c Q v c x Y 0 x J 4 i 0 l z t X d u y l F h w L E A l 2 f h I V h k P k D T N m w o 0 2 b x l E h s 3 O T M O C J 5 E 9 f 3 i N k F W Q I r 9 d 4 D d w x 9 3 L V r h 2 o 0 N C B 2 j c W P f v h T F e h N 5 v M R Z H D z x h 3 Z t m O r e q q w y 8 h m S E 5 J V i 8 j n 1 E c S K y F 8 q H x o J 7 L A Y H E Y U H m A I m 5 l K B Y 7 Q u g M X j 6 X h R I i d q Y J 3 L 6 q W N L 4 o q e M z b I W n j N G C L O x M j O o a g l Q o p 9 + b j d m a c V D g j i M r X f j e b + a C N k c 5 J g L l t l 3 r R 0 D z u 2 1 a u A d d F Q 9 E D Y X T R l b I t 2 Q w / i p c k I 1 e D g s O 7 8 d m F b 3 L h x W y P u g H E 1 q S k p G v P p 6 e q W C t c w s W C g E S T V u + D + / Q c a k 4 J e Y m c h q L b / g Q U 0 j 9 l L k R G R 8 2 2 1 / K C d b f f s 1 B S o U M F n E w + j z R k 1 Q J X G h v y i 4 y q 9 / / a W R M V E S t r v O F T 8 e R B n t B 1 C x Z z i c 0 + f 3 5 u J 0 O A u 9 4 L J l R R z 0 u Q G I M B 3 X u C c 3 O f B u g g U w M m w P a d P S n O T N Y 5 0 5 f I V Q + 0 W 1 0 j R v w C N Z d 3 m B H b x s J E 8 2 9 Y 1 I n t 3 l O v z X r B g 6 X 9 A U S H U z V I 8 S u q p l W J h u 2 m f H 9 p 0 k l 6 M x s y C 4 c H 9 R 1 J Q m K 8 x s X B g m z l i S z D N / o s E 1 c B c i b U U 7 K S h m 1 J Y b G j y Q P B r F w q S i F 0 u k 4 m D D U p 3 K F 7 z q t C + d R M o i 1 S z o x 3 e M K U J l I y 7 3 L t 3 t z 5 P j 7 r p y X F t a W U L 7 W q 7 o u T q 7 S e S l L 1 B Y m P j N c 5 E 8 3 7 6 j N u g P E W I a B 9 v f I t u s g U F e U o n Q w E U l J b J O 3 f u W F Z T U V b / h r G / v J r V D 2 w i C L I V 5 p c h 6 k 8 G w v N k S k R H M u x 7 8 f t p Y j l e 8 x O J i Y 6 Q + M r v r I q O M U V y e 8 G U 3 D I C 0 x s k 8 M 3 a o f E P / f p e F a y 7 Q A G o w u H y S b l 3 + 4 Z s 2 n F Q M 6 0 J g q J J J v o b j R 1 T o j l u h j Q 5 b / B g X 8 m U t A 9 F y 0 5 z A 8 6 c u S B v B f o x u E H 5 O 8 3 w 3 Q J F g B G Q f Y G 7 n X I K Y l H U W p W U F h k a O q S C f u L E m + b f U e 2 Y 6 t Z s 0 D d q m F p b O 9 T p E K w 8 H 0 F C Q I G N q z 0 2 2 o m R l K 8 6 a N a 5 P X 9 a U 6 h w O F i 8 U z k 6 f 6 3 D 2 T j G R o Z k s P 2 J / L 1 v 7 w 5 s Q J F y r T 5 G B o 0 W W o 1 g v m x 4 I Q J l Q R J t U s p y 5 R O h H U p R u q O 1 v L h y 9 Y Y c M g s f Q c B V T n U p X j 9 c 8 t 3 d 3 Z o C h S P E K 4 w 9 P b 1 O M N d o O V o g I 1 h M Z W d o 9 G / 8 V 9 + X M 0 8 i Z F t 6 h 6 Y u Z R s q d + / u f X U + Q D 1 t + b c b O A b O 1 3 w x G R P r g c z E O d l f N i k d Q 5 F y t 9 n Z M I 5 v m t C s C O A n U F 7 P n c X B g g 5 z 3 e q 1 F 0 j / y J Q 8 a Y + S n J L t g b + + + n i h A r U y Q j 8 U v 7 4 O C A 5 O i s L C A h W Q O G O f p Q T J n P A D 7 + E z a M S J c 4 S J G k x K 7 5 v O U H c 0 7 a S J Y b G T o s n w Y N K i 2 A 0 8 V m t h s L 9 s I F f z S I X T 2 e p M t e M a x 8 Y B o W g o O u g y E x c 3 P v l / 2 7 Z v k a H p R C 1 n + T J h Z c P g J c T E E O l M F + T U p 6 f l q t F K n 3 x y S u N a V U + q 5 M n j J 2 p f 0 X k p H G E C U N D T 5 2 + r M I H E h H i j p e 6 q 1 w m g i Z w y j Q S Z m B i X z Z s 3 6 v M W V R 1 R X 0 p h A r j J n 3 Q 4 m h j t V J 4 1 r Q 0 4 0 U J v b f a v g R v o d e r e N p j X M p 0 Q Y Q L Q Y 7 y v D L i j M j h U Z L 4 C W R O v p E C V p I 3 p w D U 8 c I c O 7 d d G J I x q O X j o g K F g 7 + t r S A w N F 6 c u 3 J P v / f L J w C O n L I R a J + B h i U t A A 5 e G Q E n H l x F k f p E 2 Z c w e z Q r f n D s j R y s m 5 K y x q 3 5 4 v t V c n 6 W C c W B z s q S O 3 J G J z o f a S + P + v Y f q P N q 9 c 7 f R 9 r O S F O d k l 1 A a B N C C 7 l 7 w t F a z w F 3 / K s y O e m U o H 3 a P N V p J m n y t 2 B m K Z k G m g 3 u Q M w 0 Z v X R s O e D a p x a L 5 F q c J q 3 9 E T J S 8 6 H 8 y i + 9 G 3 j F Y h D E p c Y L w 9 x 2 Q 1 p Z 7 F 5 9 Y B u 5 h 4 / X U + t l N h K / 7 A h G + M R E 0 m 1 p w T n z B 6 8 v D I z I K o u X s v / V y e n k n n a r Y 8 p B b s q s N s N 8 1 f C S H T E L 0 v 9 n T g O A z k 9 p 5 t K d i n 5 9 F j g Z S k s X t x J b C T T G p y y E F l + P 6 7 q l t 6 N B + i e C p z 1 h Q w 2 M W f v B H t u X H 1 C 8 K 6 7 C Q W Q F Y f I 6 e s D 9 V m f K u 8 X 5 / 3 t x m X x P w 7 j M B a p W 7 W x d a C A J s T Q U d S P G 0 E V 3 5 Q 2 5 f 4 f K p r S 9 N e 8 B I U Q 2 1 h 2 v 3 h Z g E G 1 u n r 2 B F L b h f i V N C O A + J 1 j s z k g P B Z T b M y c J + y k 1 I 0 8 y 8 s r l G + 8 d k Y v G N v P r v 0 5 v 8 T O X n L G c v 0 i g T m l w f K E x T E n G j O w v n V J y g Z Z x g 4 k j b k / f r F 9 w N v D 3 T T n Y W V O y 0 f x L m h Q p W 2 6 b C V k i t w 9 Q K k R 2 e p 2 h o N D G X Y G M C u w x s n R K M h a z l x e J V 1 K g 2 P k A z V 6 Y K F 5 l 6 N 3 m S o f u 3 b 1 9 V 3 P y w g E 9 G H A 2 U D 1 M n 3 C C o e y A e W m R c v T o Y X V W 3 L 5 z V 2 u j L D D I U 0 q C J 8 R + W d E 6 E K V T K s k C s e B 6 I U w I Q V H 6 j G Z A W A y O L 8 S X j v / j x f 0 D K a G P M L s j Q g E Q 1 B x D 9 e x g O n e f c 3 f u o P 2 7 t m E z a 6 G u x 3 k d B Y 5 v G p p Z k T 0 r 7 x l a e n L L h F R k T c j 4 y E J P w m A g B L A W Q v i S 2 V C h A z U f 1 X V e 9 u z Z t U g b k Y P H d I 9 w c e 7 c F c n L z 5 S K c r I 0 Y n U R u C 8 w Q s V o T f r q d Q x G y d 2 W L 6 8 D I l S Q E H t s o 8 M M u F 4 I G / a n H 6 B j C B z X N O Z T w w Z i k i T x h E P L 4 8 y 9 f M N o J 6 p 1 S Q D w u u E R E u J 6 z g y t O e 2 j 3 9 D j 8 L / t B d N K F x N j Z 9 W 5 4 R U K N k F t c 5 a S p n O T V 8 q 6 4 P 1 2 A 1 g N 1 i X b / E W A S s 7 o l G I Z 7 6 p W y o f r n M A s w u T O d g g V H 5 2 9 L Y d e 3 z 6 f 0 u T 9 C D 6 T + B Y T 7 G v H i u c L H n + R Q U o T 1 A v v G 9 c L o Q m W H e J e p D M V 2 R K z Y a E s n y H n x U a z P e 2 K D m i 6 i E W d j 2 x R J v S R Z F p 3 x T M Z N p T K U y 3 N 3 z O T 5 m T U v N e 2 I G F t E D u k a R C C h 7 O D 1 9 H F y Q + v l 0 5 K m n l d 9 y q n g L z S q 2 J 0 K k r b h 1 E i / / 7 7 7 + i 0 8 y k X L Q s H C e m F i w Y K + A E D u 3 T r I Y m P 9 V 8 0 v 2 g g z w 8 B Y s Y T q W T B c v J C A d o H 0 L M Q C h m u g 8 G W y a D d L t c H j w X i l t 9 Z O K 1 d b d G M e C 3 p B 0 g Z C f m F I 5 O R 8 / E 2 m t 6 E i 1 d a o M C G y l 2 a p 4 f G Y D e i I p c c v X C R n r d B h s d 8 f L 8 e T J k b t 1 Z t u V 5 1 2 K R Z l A / N a e q 6 o z R 7 4 m C Z 0 Q i u / h u h 4 G w g I E 7 H W o Q U A Q k V x K / c 4 L 2 2 V T b O K j / G Q t / 1 E 4 Z K O t r K 0 Y h M I 3 E P Y C f D n U k n 4 W C R D Z U Q G y E n d 4 Z n 0 L 8 M I P n W D S p y S W T F 7 k H I q O a d n q b Q z r 8 j k s X / + 3 d X 5 A f f W R g y F g y h p N r 8 o m J T z o x m R t j q A D d o m t l u 7 E / A n 8 M R O T S Y e 4 q + t c m C A X q H P U Y 7 A 6 r H 7 S j T R 8 b G w + 4 C 9 1 t j p M 0 I 0 X K w F c 9 4 D 6 l S h o 4 u h 1 d e Q w H v h a X U n Y 5 L J M g y 8 w g N N j U Z f K d B 6 M h A z 0 y Y k c b 2 0 P p Y f A V / 0 G X W z g v m B 8 2 F s 4 I g L U n N e N 6 2 m F 3 f C l N F 9 r R S R w D 1 A i x e B A h a Z o E w u Y U U z R I M u N s p / a D R Z l T A 1 k X z V Z t j w 9 7 i u K o M r d t V O K X f v x y s d x E B R Z j w S C 4 n U l 8 K D Y W L e y U / B O N c I i P 8 L 9 6 N 6 z f l t X 1 7 1 U Z q 6 R 6 X m g f X Z d v 2 r Z K Y k i n J C U v t p e U 0 F I e x z L 3 + C i 4 w 0 B v P G + D + u R 0 X s z N T M t 5 V J X m p M z K U u C f w b P g g + 6 U 4 e V B S U l J V m L D 1 L O i P g e 2 E 0 w M B s 1 9 P A N n G v L z g 3 R w r H k 6 / l t F f C g 2 1 3 G 5 l Q X v n Y I M M 0 j M z 5 i P 6 R d n x c u K t N z X z 4 t x j / 9 f D q y f H / W d c f S V M o c M K E 8 A O c u f q 5 a R G a i r Z Y M K u w D O r A 3 1 K 2 s Y y p b r T q c F z 4 1 J t r P Z S T z P a r D R r x t A 7 5 / l g w g T s / Q 3 W f z 2 o Q F 2 8 c F 5 + 8 u M f B R 6 F h r N n T q u L 0 o 0 / + l d / o P V J j x 4 + l L / 8 i z 8 P P L s U f / Z / / q m + Z j V 4 9 N h x n f v h T / / 0 3 + m / p B V R o f v h z z / W 8 n l i E x Y M d P a C s T c V + U 5 8 C x s M M K l P O 9 7 e P a d t m b / C 2 o E A s F N k 6 m i B n h H D F o b i j T Y I b 8 + 3 7 c i 8 o E j S D 3 T W v V o f q 3 E t + l i E A r u B W 8 + k G 0 E p 3 / / 1 Z / 9 O j X q 6 A 9 E j o b v L K T 3 n O Z C d k y P f / e 6 v y V / 9 1 V 9 I e 1 u b W Y C Z W h r 9 9 3 / w 2 1 J T 8 1 T a 2 9 u l 5 q k z M f x / + B f / o 1 y 5 f E k / p 6 m p U d 8 / P D S k I / h J M C 0 p K Z U n T x 6 r p 8 5 + F t / D p I x / 9 D v / W O o b 6 v X 9 H e Y z B 4 c G p b J y i + w / c F B + 8 q M f y v D I s F R U b J S I u R l N b K V X B P S O t s t 7 9 u y R x 4 8 f y z / 7 Z / 9 U B W 5 0 p F / a z G d k p G d o D 0 C a 6 u M B i j I 6 n v E z T r K r c 5 U o I h x N 2 i r j H Y 8 k P z t B E u L i 9 T P o X o s 2 c 9 M + 2 h L 7 G a t e G v M V 1 g 7 Y S I N j k X K o f F L q u q K l Z z R S B Z H U Q L 9 r f m D D l F y v X / 9 N 0 F f 8 m x o b t d g O F z T j S 3 b s 2 G l o 0 N u S H K g T o i s p t U E / / e m P V W D y C w o 0 F p S W v j i O E 8 2 I m 6 w s X b S J S U m 6 4 B G Y K i M 8 f F Z u b q 7 S M L S F 1 T D 2 s y j m c 2 u R L V u M T W M E + t e + / + v z K U C k C / E 4 O T H e / H 2 L a k e E 4 l v f + p a O E H V / L u + h Y + 3 9 u w 8 1 E + L E W 8 f k z e N H t R M T A k g 1 7 q x r s i L n n R g 9 K 5 X b t 8 v W L Z X a W p i S E X e y p 0 U w z 8 8 J V 6 / x r 7 B 2 Y G 7 V 3 q I p b U B D E H Z v y Z S 8 s 2 V C j m 6 c 9 H U Y 4 P S I M z + 2 i 9 J 6 4 q V 1 S p z / n D G a Z + T 3 / r v f X 9 I K z A 0 8 P w Q C V 4 L T e H O p 3 T O H v E U Y w 7 S x S X v 6 I T C 0 M a u r q Z e q P 4 + Q 4 Y P t 8 v e / / 7 Z u C m 4 s 5 5 g A u c Y e 4 E Y z l + l 5 A p 5 f Y S k o H / F z y 5 P 7 R 2 D Y W 0 r C g P E D Z Z P S P x o h 1 9 Z g a u R y e O W 9 f A i T 3 8 X 1 I p h A u d H V 3 a 1 Z 5 8 y P R U s + e 1 Y r W 7 d t k 4 f 3 H 8 g B T 2 d Y P E M 2 o u 4 F x 7 P H 7 K A k e j Y E P E h f Y X U g C 5 1 0 J N z W p 6 v i 1 C l w y N A 3 v 8 m a w T Y 5 P H l 4 9 A B 0 k M T m c A L H 4 e C V 3 z p D E a a V A C 2 k I P H y x a t y x F B A O t b S q A W N F R 0 V I U n J S 0 t B i L f 4 I S V + V n d D O 9 b S P Y j u K 4 Q H 8 v t I B 0 K Y A G 3 H 3 t w 4 H t T x c H L L p O 9 6 I H / P A q K x c Y X Y 0 / P g S 8 F F Q j H 8 o W y 2 1 Z c b O D / q 6 x u k s n K T j v I c M P b U J x 9 9 J v 0 D A 5 p Q S S / 0 3 N S F 9 s 7 g d F X s f N q N B Z y e t B t 2 T w K S N v X m 8 y 9 R 9 6 M X B b x n W c k z G u t x C w h x K 3 q d U z 7 i B 2 w l 6 C B U G y S b z Q 0 Q K H Y D I V 0 v v N I C R e d Y H B F o G N K N c J D Y H z I l E D Q V N v O D m x s t 1 N z c o u N H c Y b w v r t 3 H 2 j / c z y M C B A T D t / / + r v y 7 O k z d X D c / c M 4 + X 9 + + b 7 8 x 9 9 5 I P U 9 T v K l 3 7 w i W w y 3 F h r z F x 3 Q s 4 Q Y k Q 1 Z M 0 u E x 2 v L + g H 7 V T s y z U X o / a B G y w 0 + 0 z 3 r a y 3 x S g s U s S U a S + L q J n c P 7 5 3 9 Q Y D Q P u p + n 5 7 S a t y u r m 6 d r k F e 1 9 1 7 D 6 S 5 p V V 2 M x H R 5 y b N q i S K v P O 7 T j v o l N / c L t W d / j Q P u M u z L Q I f 8 R X C B J Q u W N z I h m 1 C A Y L p 7 n / h B t R 8 P R D U K T E 9 M S t R M R F a V f k y g 6 M L R g E s 0 F 7 k 9 x G H s s A B k Z G e P t + k 8 q / / y U M p 2 J G i V a X c N H L 7 t m z Z r H 9 b y a M H q K P J S l p 8 H N A 9 c s i + Q u i g Y H E 5 7 c G 9 C U V L r Q T k 8 l T V 2 o 8 Z W l R g G G M M 8 P L c W J m d m Z M / P P C B d N U M S 2 x i l C T n x O s E B 0 7 m f / m X / 5 P G p E L B J x 9 / J B s 3 b Z K H D x 7 I p Y s X p K i 4 W L 1 n 4 P S p z 5 R m / e i H f y t n z p y W + / f u y h / / m 3 8 t 5 8 6 e 1 k W e l Z m l v c 3 / 5 P / 4 Y z l / 7 q w + V 1 z M S N A F D B g 7 5 6 5 5 X 2 l x k R q b w e A k y U Y a e u h M 3 g N J i Y l K A f X 3 p E T Z + a 1 c K T v g Z C R D B V t b W y U l M 1 / O V q 8 s T I D E z v T E h b t D O T c U c S V k J s 7 O l x r 8 o g J P 7 a 7 C a Y 0 T x a 5 w y d Z C m A A f U 5 E 9 Y 5 j F n A y M R T 2 X Y J E L Y B V n U A 3 1 w b 8 0 C 3 V f l u R u S 5 O c i m T V V L d v 3 9 K M B Q K q B G j J e i D b g c y F H n Z 8 Y 3 + A 3 p 4 e p V 0 E U / / J P / 1 d + e D n P z U 0 K 1 3 O G m E 5 f P g N K S w s l N 7 e X n 3 f J 5 9 8 p K / l Q t E L 4 q 2 3 T s p / / s 9 / L f v 2 M Q 2 + W D M o L p z / X I 6 f e E t j R K c + + 1 R t G 7 6 b v 2 / b v k O + + 9 3 v L h u L 8 t N Q F l W 4 y b d t C T x y 0 N P d I 2 n p a S r E N K 7 0 z i / y g + 2 i a o F m W s 4 h s d a D 0 F 4 1 4 C h g Q B s E K B w S t F Y a y o 2 r 9 T H P P f f 4 7 S 0 T c q Y q T v 5 / Y s l f B K r z h e E 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 N a m e = " A m o u n t   o f   f u n d i n g   r e c e i v e d "   G u i d = " 4 2 1 2 7 d 2 a - 0 3 7 1 - 4 1 e 6 - a 6 3 c - f 7 7 b 9 7 1 8 1 3 6 e "   R e v = " 2 9 "   R e v G u i d = " b 5 5 c 0 d 1 2 - a 5 6 b - 4 f 4 1 - a f 1 b - b d f 4 2 d 6 6 f 0 4 3 "   V i s i b l e = " t r u e "   I n s t O n l y = " f a l s e " & g t ; & l t ; G e o V i s   V i s i b l e = " t r u e "   L a y e r C o l o r S e t = " f a l s e "   R e g i o n S h a d i n g M o d e S e t = " f a l s e "   R e g i o n S h a d i n g M o d e = " G l o b a l "   T T T e m p l a t e = " B a s i c "   V i s u a l T y p e = " B u b b l e C h a r t "   N u l l s = " f a l s e "   Z e r o s = " t r u e "   N e g a t i v e s = " t r u e "   H e a t M a p B l e n d M o d e = " A d d "   V i s u a l S h a p e = " C i r c l e " 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 N a m e = " R e c i p i e n t "   V i s i b l e = " t r u e "   D a t a T y p e = " S t r i n g "   M o d e l Q u e r y N a m e = " ' T a b l e 1 ' [ R e c i p i e n t ] " & g t ; & l t ; T a b l e   M o d e l N a m e = " T a b l e 1 "   N a m e I n S o u r c e = " T a b l e 1 "   V i s i b l e = " t r u e "   L a s t R e f r e s h = " 0 0 0 1 - 0 1 - 0 1 T 0 0 : 0 0 : 0 0 "   / & g t ; & l t ; / G e o C o l u m n & g t ; & l t ; / G e o C o l u m n s & g t ; & l t ; C o u n t r y   N a m e = " R e c i p i e n t "   V i s i b l e = " t r u e "   D a t a T y p e = " S t r i n g "   M o d e l Q u e r y N a m e = " ' T a b l e 1 ' [ R e c i p i e n t ] " & g t ; & l t ; T a b l e   M o d e l N a m e = " T a b l e 1 "   N a m e I n S o u r c e = " T a b l e 1 "   V i s i b l e = " t r u e "   L a s t R e f r e s h = " 0 0 0 1 - 0 1 - 0 1 T 0 0 : 0 0 : 0 0 "   / & g t ; & l t ; / C o u n t r y & g t ; & l t ; / G e o E n t i t y & g t ; & l t ; M e a s u r e s & g t ; & l t ; M e a s u r e   N a m e = " A m o u n t   ( i n   U S D ) "   V i s i b l e = " t r u e "   D a t a T y p e = " D o u b l e "   M o d e l Q u e r y N a m e = " ' T a b l e 1 ' [ A m o u n t   ( i n   U S D ) ] " & g t ; & l t ; T a b l e   M o d e l N a m e = " T a b l e 1 "   N a m e I n S o u r c e = " T a b l e 1 "   V i s i b l e = " t r u e "   L a s t R e f r e s h = " 0 0 0 1 - 0 1 - 0 1 T 0 0 : 0 0 : 0 0 "   / & g t ; & l t ; / M e a s u r e & g t ; & l t ; / M e a s u r e s & g t ; & l t ; M e a s u r e A F s & 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7 & l t ; / X & g t ; & l t ; Y & g t ; 5 0 5 & l t ; / Y & g t ; & l t ; D i s t a n c e T o N e a r e s t C o r n e r X & g t ; 7 & l t ; / D i s t a n c e T o N e a r e s t C o r n e r X & g t ; & l t ; D i s t a n c e T o N e a r e s t C o r n e r Y & g t ; 1 & l t ; / D i s t a n c e T o N e a r e s t C o r n e r Y & g t ; & l t ; Z O r d e r & g t ; 0 & l t ; / Z O r d e r & g t ; & l t ; W i d t h & g t ; 2 6 0 & l t ; / W i d t h & g t ; & l t ; H e i g h t & g t ; 1 3 9 & l t ; / H e i g h t & g t ; & l t ; A c t u a l W i d t h & g t ; 2 6 0 & l t ; / A c t u a l W i d t h & g t ; & l t ; A c t u a l H e i g h t & g t ; 1 3 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4 2 1 2 7 d 2 a - 0 3 7 1 - 4 1 e 6 - a 6 3 c - f 7 7 b 9 7 1 8 1 3 6 e & l t ; / L a y e r I d & g t ; & l t ; R a w H e a t M a p M i n & g t ; 0 & l t ; / R a w H e a t M a p M i n & g t ; & l t ; R a w H e a t M a p M a x & g t ; 0 & l t ; / R a w H e a t M a p M a x & g t ; & l t ; M i n i m u m & g t ; 0 & l t ; / M i n i m u m & g t ; & l t ; M a x i m u m & g t ; 1 4 8 7 6 7 9 3 2 0 0 . 8 2 7 1 5 8 & l t ; / M a x i m u m & g t ; & l t ; / L e g e n d & g t ; & l t ; D o c k & g t ; B o t t o m L e f t & l t ; / D o c k & g t ; & l t ; / D e c o r a t o r & g t ; & l t ; / D e c o r a t o r s & g t ; & l t ; / S e r i a l i z e d L a y e r M a n a g e r & g t ; < / L a y e r s C o n t e n t > < / S c e n e > < / S c e n e s > < / T o u r > 
</file>

<file path=customXml/itemProps1.xml><?xml version="1.0" encoding="utf-8"?>
<ds:datastoreItem xmlns:ds="http://schemas.openxmlformats.org/officeDocument/2006/customXml" ds:itemID="{6358AEEA-57E5-4577-84C0-5078B60BED61}">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6F61EF0C-0ADC-4FBD-BD69-C294ECB4DD2E}">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34A51E9D-2416-4598-80EA-730833B1C675}">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Information</vt:lpstr>
      <vt:lpstr>2007-2015 Projects</vt:lpstr>
      <vt:lpstr>2016 &amp; Pending Projects</vt:lpstr>
      <vt:lpstr>GCountryBar</vt:lpstr>
      <vt:lpstr>GYearlyCountry</vt:lpstr>
      <vt:lpstr>2016</vt:lpstr>
      <vt:lpstr>GPendingStack</vt:lpstr>
      <vt:lpstr>GYearOrgStack</vt:lpstr>
      <vt:lpstr>GSectorShare</vt:lpstr>
      <vt:lpstr>GRecipientBar</vt:lpstr>
      <vt:lpstr>Notes &amp; Methodology</vt:lpstr>
      <vt:lpstr>Responses</vt:lpstr>
      <vt:lpstr>GOrgBar</vt:lpstr>
      <vt:lpstr>BigSpendersxSector</vt:lpstr>
      <vt:lpstr>FunderbyCountry</vt:lpstr>
      <vt:lpstr>Dev Bank Share by Country</vt:lpstr>
      <vt:lpstr>B</vt:lpstr>
    </vt:vector>
  </TitlesOfParts>
  <Company>NRDC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Lyn Vollmer</dc:creator>
  <cp:lastModifiedBy>M</cp:lastModifiedBy>
  <cp:lastPrinted>2016-08-29T19:40:51Z</cp:lastPrinted>
  <dcterms:created xsi:type="dcterms:W3CDTF">2016-03-16T19:32:08Z</dcterms:created>
  <dcterms:modified xsi:type="dcterms:W3CDTF">2016-11-14T15:03:51Z</dcterms:modified>
  <cp:contentStatus/>
</cp:coreProperties>
</file>