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0"/>
  <workbookPr date1904="1" showInkAnnotation="0" autoCompressPictures="0"/>
  <bookViews>
    <workbookView xWindow="-20" yWindow="20" windowWidth="36380" windowHeight="21080" tabRatio="899"/>
  </bookViews>
  <sheets>
    <sheet name="Chart FSF FFS" sheetId="29" r:id="rId1"/>
    <sheet name="Totals" sheetId="5" r:id="rId2"/>
    <sheet name="Australia" sheetId="6" r:id="rId3"/>
    <sheet name="Belgium" sheetId="7" r:id="rId4"/>
    <sheet name="Canada" sheetId="8" r:id="rId5"/>
    <sheet name="Chile" sheetId="9" r:id="rId6"/>
    <sheet name="France" sheetId="10" r:id="rId7"/>
    <sheet name="Germany" sheetId="11" r:id="rId8"/>
    <sheet name="Hungary" sheetId="12" r:id="rId9"/>
    <sheet name="Iceland" sheetId="13" r:id="rId10"/>
    <sheet name="Ireland" sheetId="14" r:id="rId11"/>
    <sheet name="Israel" sheetId="15" r:id="rId12"/>
    <sheet name="Italy" sheetId="16" r:id="rId13"/>
    <sheet name="Japan" sheetId="17" r:id="rId14"/>
    <sheet name="Korea" sheetId="18" r:id="rId15"/>
    <sheet name="Luxembourg" sheetId="19" r:id="rId16"/>
    <sheet name="Mexico" sheetId="20" r:id="rId17"/>
    <sheet name="Netherlands" sheetId="21" r:id="rId18"/>
    <sheet name="New Zealand" sheetId="28" r:id="rId19"/>
    <sheet name="Norway" sheetId="22" r:id="rId20"/>
    <sheet name="Poland" sheetId="23" r:id="rId21"/>
    <sheet name="Spain" sheetId="24" r:id="rId22"/>
    <sheet name="Sweden" sheetId="25" r:id="rId23"/>
    <sheet name="Turkey" sheetId="26" r:id="rId24"/>
    <sheet name="U.K." sheetId="27" r:id="rId25"/>
    <sheet name="U.S." sheetId="1" r:id="rId2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6" l="1"/>
  <c r="I3" i="6"/>
  <c r="E8" i="6"/>
  <c r="K8" i="6"/>
  <c r="E9" i="6"/>
  <c r="K9" i="6"/>
  <c r="K10" i="6"/>
  <c r="E11" i="6"/>
  <c r="K11" i="6"/>
  <c r="E13" i="6"/>
  <c r="K13" i="6"/>
  <c r="E14" i="6"/>
  <c r="K14" i="6"/>
  <c r="K15" i="6"/>
  <c r="E16" i="6"/>
  <c r="K16" i="6"/>
  <c r="E3" i="6"/>
  <c r="E18" i="6"/>
  <c r="K18" i="6"/>
  <c r="E19" i="6"/>
  <c r="K19" i="6"/>
  <c r="E5" i="6"/>
  <c r="E20" i="6"/>
  <c r="K20" i="6"/>
  <c r="E21" i="6"/>
  <c r="K21" i="6"/>
  <c r="K4" i="6"/>
  <c r="K5" i="6"/>
  <c r="E6" i="6"/>
  <c r="K6" i="6"/>
  <c r="K3" i="6"/>
  <c r="F8" i="6"/>
  <c r="L8" i="6"/>
  <c r="F9" i="6"/>
  <c r="L9" i="6"/>
  <c r="L10" i="6"/>
  <c r="F11" i="6"/>
  <c r="L11" i="6"/>
  <c r="F13" i="6"/>
  <c r="L13" i="6"/>
  <c r="F14" i="6"/>
  <c r="L14" i="6"/>
  <c r="L15" i="6"/>
  <c r="F16" i="6"/>
  <c r="L16" i="6"/>
  <c r="F3" i="6"/>
  <c r="F18" i="6"/>
  <c r="L18" i="6"/>
  <c r="F19" i="6"/>
  <c r="L19" i="6"/>
  <c r="F5" i="6"/>
  <c r="F20" i="6"/>
  <c r="L20" i="6"/>
  <c r="F21" i="6"/>
  <c r="L21" i="6"/>
  <c r="L5" i="6"/>
  <c r="L4" i="6"/>
  <c r="F6" i="6"/>
  <c r="L6" i="6"/>
  <c r="L3" i="6"/>
  <c r="M4" i="6"/>
  <c r="G5" i="6"/>
  <c r="M5" i="6"/>
  <c r="G3" i="6"/>
  <c r="G6" i="6"/>
  <c r="M6" i="6"/>
  <c r="G8" i="6"/>
  <c r="M8" i="6"/>
  <c r="G9" i="6"/>
  <c r="M9" i="6"/>
  <c r="M10" i="6"/>
  <c r="G11" i="6"/>
  <c r="M11" i="6"/>
  <c r="G13" i="6"/>
  <c r="M13" i="6"/>
  <c r="G14" i="6"/>
  <c r="M14" i="6"/>
  <c r="M15" i="6"/>
  <c r="G16" i="6"/>
  <c r="M16" i="6"/>
  <c r="G18" i="6"/>
  <c r="M18" i="6"/>
  <c r="G19" i="6"/>
  <c r="M19" i="6"/>
  <c r="G20" i="6"/>
  <c r="M20" i="6"/>
  <c r="G21" i="6"/>
  <c r="M21" i="6"/>
  <c r="M3" i="6"/>
  <c r="D3" i="6"/>
  <c r="J3" i="6"/>
  <c r="D8" i="6"/>
  <c r="J8" i="6"/>
  <c r="D9" i="6"/>
  <c r="J9" i="6"/>
  <c r="J10" i="6"/>
  <c r="D11" i="6"/>
  <c r="J11" i="6"/>
  <c r="D13" i="6"/>
  <c r="J13" i="6"/>
  <c r="D14" i="6"/>
  <c r="J14" i="6"/>
  <c r="J15" i="6"/>
  <c r="D16" i="6"/>
  <c r="J16" i="6"/>
  <c r="D18" i="6"/>
  <c r="J18" i="6"/>
  <c r="D19" i="6"/>
  <c r="J19" i="6"/>
  <c r="D5" i="6"/>
  <c r="D20" i="6"/>
  <c r="J20" i="6"/>
  <c r="D21" i="6"/>
  <c r="J21" i="6"/>
  <c r="J4" i="6"/>
  <c r="J5" i="6"/>
  <c r="D6" i="6"/>
  <c r="J6" i="6"/>
  <c r="I15" i="6"/>
  <c r="I4" i="6"/>
  <c r="C5" i="6"/>
  <c r="I5" i="6"/>
  <c r="C6" i="6"/>
  <c r="I6" i="6"/>
  <c r="C8" i="6"/>
  <c r="I8" i="6"/>
  <c r="C9" i="6"/>
  <c r="I9" i="6"/>
  <c r="I10" i="6"/>
  <c r="C11" i="6"/>
  <c r="I11" i="6"/>
  <c r="C13" i="6"/>
  <c r="I13" i="6"/>
  <c r="C14" i="6"/>
  <c r="I14" i="6"/>
  <c r="C16" i="6"/>
  <c r="I16" i="6"/>
  <c r="C18" i="6"/>
  <c r="I18" i="6"/>
  <c r="C19" i="6"/>
  <c r="I19" i="6"/>
  <c r="C20" i="6"/>
  <c r="I20" i="6"/>
  <c r="C21" i="6"/>
  <c r="I21" i="6"/>
  <c r="F18" i="7"/>
  <c r="F9" i="7"/>
  <c r="F14" i="7"/>
  <c r="F19" i="7"/>
  <c r="F20" i="7"/>
  <c r="F21" i="7"/>
  <c r="L21" i="7"/>
  <c r="L20" i="7"/>
  <c r="L19" i="7"/>
  <c r="L18" i="7"/>
  <c r="F16" i="7"/>
  <c r="L16" i="7"/>
  <c r="L15" i="7"/>
  <c r="L14" i="7"/>
  <c r="L13" i="7"/>
  <c r="F11" i="7"/>
  <c r="L11" i="7"/>
  <c r="L10" i="7"/>
  <c r="L9" i="7"/>
  <c r="L8" i="7"/>
  <c r="L4" i="7"/>
  <c r="L5" i="7"/>
  <c r="F6" i="7"/>
  <c r="L6" i="7"/>
  <c r="L3" i="7"/>
  <c r="E18" i="7"/>
  <c r="E9" i="7"/>
  <c r="E14" i="7"/>
  <c r="E19" i="7"/>
  <c r="E20" i="7"/>
  <c r="E21" i="7"/>
  <c r="K21" i="7"/>
  <c r="K20" i="7"/>
  <c r="K19" i="7"/>
  <c r="K18" i="7"/>
  <c r="E16" i="7"/>
  <c r="K16" i="7"/>
  <c r="K15" i="7"/>
  <c r="K14" i="7"/>
  <c r="K13" i="7"/>
  <c r="K9" i="7"/>
  <c r="K10" i="7"/>
  <c r="E11" i="7"/>
  <c r="K11" i="7"/>
  <c r="K8" i="7"/>
  <c r="K4" i="7"/>
  <c r="K5" i="7"/>
  <c r="E6" i="7"/>
  <c r="K6" i="7"/>
  <c r="K3" i="7"/>
  <c r="M4" i="7"/>
  <c r="M5" i="7"/>
  <c r="G6" i="7"/>
  <c r="M6" i="7"/>
  <c r="M8" i="7"/>
  <c r="G9" i="7"/>
  <c r="M9" i="7"/>
  <c r="M10" i="7"/>
  <c r="G11" i="7"/>
  <c r="M11" i="7"/>
  <c r="M13" i="7"/>
  <c r="G14" i="7"/>
  <c r="M14" i="7"/>
  <c r="M15" i="7"/>
  <c r="G16" i="7"/>
  <c r="M16" i="7"/>
  <c r="G18" i="7"/>
  <c r="M18" i="7"/>
  <c r="G19" i="7"/>
  <c r="M19" i="7"/>
  <c r="G20" i="7"/>
  <c r="M20" i="7"/>
  <c r="G21" i="7"/>
  <c r="M21" i="7"/>
  <c r="M3" i="7"/>
  <c r="J8" i="7"/>
  <c r="D9" i="7"/>
  <c r="J9" i="7"/>
  <c r="J10" i="7"/>
  <c r="D11" i="7"/>
  <c r="J11" i="7"/>
  <c r="J13" i="7"/>
  <c r="D14" i="7"/>
  <c r="J14" i="7"/>
  <c r="J15" i="7"/>
  <c r="D16" i="7"/>
  <c r="J16" i="7"/>
  <c r="D18" i="7"/>
  <c r="J18" i="7"/>
  <c r="D19" i="7"/>
  <c r="J19" i="7"/>
  <c r="D20" i="7"/>
  <c r="J20" i="7"/>
  <c r="D21" i="7"/>
  <c r="J21" i="7"/>
  <c r="J4" i="7"/>
  <c r="J5" i="7"/>
  <c r="D6" i="7"/>
  <c r="J6" i="7"/>
  <c r="J3" i="7"/>
  <c r="I4" i="7"/>
  <c r="I5" i="7"/>
  <c r="C6" i="7"/>
  <c r="I6" i="7"/>
  <c r="I8" i="7"/>
  <c r="C9" i="7"/>
  <c r="I9" i="7"/>
  <c r="I10" i="7"/>
  <c r="C11" i="7"/>
  <c r="I11" i="7"/>
  <c r="I13" i="7"/>
  <c r="C14" i="7"/>
  <c r="I14" i="7"/>
  <c r="I15" i="7"/>
  <c r="C16" i="7"/>
  <c r="I16" i="7"/>
  <c r="C18" i="7"/>
  <c r="I18" i="7"/>
  <c r="C19" i="7"/>
  <c r="I19" i="7"/>
  <c r="C20" i="7"/>
  <c r="I20" i="7"/>
  <c r="C21" i="7"/>
  <c r="I21" i="7"/>
  <c r="I3" i="7"/>
  <c r="G4" i="8"/>
  <c r="M4" i="8"/>
  <c r="M5" i="8"/>
  <c r="G3" i="8"/>
  <c r="G6" i="8"/>
  <c r="M6" i="8"/>
  <c r="G8" i="8"/>
  <c r="M8" i="8"/>
  <c r="G9" i="8"/>
  <c r="M9" i="8"/>
  <c r="G10" i="8"/>
  <c r="M10" i="8"/>
  <c r="G11" i="8"/>
  <c r="M11" i="8"/>
  <c r="G13" i="8"/>
  <c r="M13" i="8"/>
  <c r="G14" i="8"/>
  <c r="M14" i="8"/>
  <c r="G15" i="8"/>
  <c r="M15" i="8"/>
  <c r="G16" i="8"/>
  <c r="M16" i="8"/>
  <c r="G18" i="8"/>
  <c r="M18" i="8"/>
  <c r="G19" i="8"/>
  <c r="M19" i="8"/>
  <c r="G20" i="8"/>
  <c r="M20" i="8"/>
  <c r="G21" i="8"/>
  <c r="M21" i="8"/>
  <c r="M3" i="8"/>
  <c r="F4" i="8"/>
  <c r="L4" i="8"/>
  <c r="L5" i="8"/>
  <c r="F3" i="8"/>
  <c r="F6" i="8"/>
  <c r="L6" i="8"/>
  <c r="F8" i="8"/>
  <c r="L8" i="8"/>
  <c r="F9" i="8"/>
  <c r="L9" i="8"/>
  <c r="F10" i="8"/>
  <c r="L10" i="8"/>
  <c r="F11" i="8"/>
  <c r="L11" i="8"/>
  <c r="F13" i="8"/>
  <c r="L13" i="8"/>
  <c r="F14" i="8"/>
  <c r="L14" i="8"/>
  <c r="F15" i="8"/>
  <c r="L15" i="8"/>
  <c r="F16" i="8"/>
  <c r="L16" i="8"/>
  <c r="F18" i="8"/>
  <c r="L18" i="8"/>
  <c r="F19" i="8"/>
  <c r="L19" i="8"/>
  <c r="F20" i="8"/>
  <c r="L20" i="8"/>
  <c r="F21" i="8"/>
  <c r="L21" i="8"/>
  <c r="E4" i="8"/>
  <c r="K4" i="8"/>
  <c r="K5" i="8"/>
  <c r="E3" i="8"/>
  <c r="E6" i="8"/>
  <c r="K6" i="8"/>
  <c r="E8" i="8"/>
  <c r="K8" i="8"/>
  <c r="E9" i="8"/>
  <c r="K9" i="8"/>
  <c r="E10" i="8"/>
  <c r="K10" i="8"/>
  <c r="E11" i="8"/>
  <c r="K11" i="8"/>
  <c r="E13" i="8"/>
  <c r="K13" i="8"/>
  <c r="E14" i="8"/>
  <c r="K14" i="8"/>
  <c r="E15" i="8"/>
  <c r="K15" i="8"/>
  <c r="E16" i="8"/>
  <c r="K16" i="8"/>
  <c r="E18" i="8"/>
  <c r="K18" i="8"/>
  <c r="E19" i="8"/>
  <c r="K19" i="8"/>
  <c r="E20" i="8"/>
  <c r="K20" i="8"/>
  <c r="E21" i="8"/>
  <c r="K21" i="8"/>
  <c r="D4" i="8"/>
  <c r="J4" i="8"/>
  <c r="J5" i="8"/>
  <c r="D3" i="8"/>
  <c r="D6" i="8"/>
  <c r="J6" i="8"/>
  <c r="D8" i="8"/>
  <c r="J8" i="8"/>
  <c r="D9" i="8"/>
  <c r="J9" i="8"/>
  <c r="D10" i="8"/>
  <c r="J10" i="8"/>
  <c r="D11" i="8"/>
  <c r="J11" i="8"/>
  <c r="D13" i="8"/>
  <c r="J13" i="8"/>
  <c r="D14" i="8"/>
  <c r="J14" i="8"/>
  <c r="D15" i="8"/>
  <c r="J15" i="8"/>
  <c r="D16" i="8"/>
  <c r="J16" i="8"/>
  <c r="D18" i="8"/>
  <c r="J18" i="8"/>
  <c r="D19" i="8"/>
  <c r="J19" i="8"/>
  <c r="D20" i="8"/>
  <c r="J20" i="8"/>
  <c r="D21" i="8"/>
  <c r="J21" i="8"/>
  <c r="C4" i="8"/>
  <c r="I4" i="8"/>
  <c r="I5" i="8"/>
  <c r="C3" i="8"/>
  <c r="C6" i="8"/>
  <c r="I6" i="8"/>
  <c r="C8" i="8"/>
  <c r="I8" i="8"/>
  <c r="C9" i="8"/>
  <c r="I9" i="8"/>
  <c r="C10" i="8"/>
  <c r="I10" i="8"/>
  <c r="C11" i="8"/>
  <c r="I11" i="8"/>
  <c r="C13" i="8"/>
  <c r="I13" i="8"/>
  <c r="C14" i="8"/>
  <c r="I14" i="8"/>
  <c r="C15" i="8"/>
  <c r="I15" i="8"/>
  <c r="C16" i="8"/>
  <c r="I16" i="8"/>
  <c r="C18" i="8"/>
  <c r="I18" i="8"/>
  <c r="C19" i="8"/>
  <c r="I19" i="8"/>
  <c r="C20" i="8"/>
  <c r="I20" i="8"/>
  <c r="C21" i="8"/>
  <c r="I21" i="8"/>
  <c r="K3" i="8"/>
  <c r="L3" i="8"/>
  <c r="J3" i="8"/>
  <c r="I3" i="8"/>
  <c r="G18" i="16"/>
  <c r="G9" i="16"/>
  <c r="G14" i="16"/>
  <c r="G19" i="16"/>
  <c r="G20" i="16"/>
  <c r="G21" i="16"/>
  <c r="M21" i="16"/>
  <c r="F19" i="5"/>
  <c r="C10" i="29"/>
  <c r="J19" i="5"/>
  <c r="B10" i="29"/>
  <c r="D10" i="29"/>
  <c r="C8" i="29"/>
  <c r="J16" i="5"/>
  <c r="B8" i="29"/>
  <c r="D8" i="29"/>
  <c r="J6" i="5"/>
  <c r="B3" i="29"/>
  <c r="J7" i="5"/>
  <c r="B4" i="29"/>
  <c r="J8" i="5"/>
  <c r="B5" i="29"/>
  <c r="J13" i="5"/>
  <c r="B6" i="29"/>
  <c r="J14" i="5"/>
  <c r="B7" i="29"/>
  <c r="J17" i="5"/>
  <c r="B9" i="29"/>
  <c r="J20" i="5"/>
  <c r="B11" i="29"/>
  <c r="J26" i="5"/>
  <c r="B12" i="29"/>
  <c r="J27" i="5"/>
  <c r="B13" i="29"/>
  <c r="J28" i="5"/>
  <c r="B14" i="29"/>
  <c r="J32" i="5"/>
  <c r="B15" i="29"/>
  <c r="J33" i="5"/>
  <c r="B16" i="29"/>
  <c r="J36" i="5"/>
  <c r="B17" i="29"/>
  <c r="J37" i="5"/>
  <c r="B18" i="29"/>
  <c r="B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F7" i="5"/>
  <c r="C4" i="29"/>
  <c r="D4" i="29"/>
  <c r="F8" i="5"/>
  <c r="C5" i="29"/>
  <c r="D5" i="29"/>
  <c r="G3" i="10"/>
  <c r="G8" i="10"/>
  <c r="G13" i="10"/>
  <c r="G18" i="10"/>
  <c r="G4" i="10"/>
  <c r="G9" i="10"/>
  <c r="G14" i="10"/>
  <c r="G19" i="10"/>
  <c r="G5" i="10"/>
  <c r="G20" i="10"/>
  <c r="G21" i="10"/>
  <c r="M21" i="10"/>
  <c r="F13" i="5"/>
  <c r="C6" i="29"/>
  <c r="D6" i="29"/>
  <c r="G3" i="11"/>
  <c r="G8" i="11"/>
  <c r="G13" i="11"/>
  <c r="G18" i="11"/>
  <c r="G4" i="11"/>
  <c r="G9" i="11"/>
  <c r="G14" i="11"/>
  <c r="G19" i="11"/>
  <c r="G5" i="11"/>
  <c r="G20" i="11"/>
  <c r="G21" i="11"/>
  <c r="M21" i="11"/>
  <c r="F14" i="5"/>
  <c r="C7" i="29"/>
  <c r="D7" i="29"/>
  <c r="G8" i="15"/>
  <c r="G13" i="15"/>
  <c r="G18" i="15"/>
  <c r="G9" i="15"/>
  <c r="G19" i="15"/>
  <c r="G20" i="15"/>
  <c r="G21" i="15"/>
  <c r="M21" i="15"/>
  <c r="F18" i="5"/>
  <c r="C9" i="29"/>
  <c r="D9" i="29"/>
  <c r="G8" i="17"/>
  <c r="G13" i="17"/>
  <c r="G18" i="17"/>
  <c r="G14" i="17"/>
  <c r="G19" i="17"/>
  <c r="G10" i="17"/>
  <c r="G20" i="17"/>
  <c r="G21" i="17"/>
  <c r="M21" i="17"/>
  <c r="F20" i="5"/>
  <c r="C11" i="29"/>
  <c r="D11" i="29"/>
  <c r="G18" i="21"/>
  <c r="G9" i="21"/>
  <c r="G14" i="21"/>
  <c r="G19" i="21"/>
  <c r="G20" i="21"/>
  <c r="G21" i="21"/>
  <c r="M21" i="21"/>
  <c r="F26" i="5"/>
  <c r="C12" i="29"/>
  <c r="D12" i="29"/>
  <c r="G18" i="28"/>
  <c r="G9" i="28"/>
  <c r="G19" i="28"/>
  <c r="G10" i="28"/>
  <c r="G15" i="28"/>
  <c r="G20" i="28"/>
  <c r="G21" i="28"/>
  <c r="M21" i="28"/>
  <c r="F27" i="5"/>
  <c r="C13" i="29"/>
  <c r="D13" i="29"/>
  <c r="G3" i="22"/>
  <c r="G8" i="22"/>
  <c r="G13" i="22"/>
  <c r="G18" i="22"/>
  <c r="G4" i="22"/>
  <c r="G9" i="22"/>
  <c r="G14" i="22"/>
  <c r="G19" i="22"/>
  <c r="G10" i="22"/>
  <c r="G15" i="22"/>
  <c r="G20" i="22"/>
  <c r="G21" i="22"/>
  <c r="M21" i="22"/>
  <c r="F28" i="5"/>
  <c r="C14" i="29"/>
  <c r="D14" i="29"/>
  <c r="G3" i="24"/>
  <c r="G18" i="24"/>
  <c r="G4" i="24"/>
  <c r="G9" i="24"/>
  <c r="G19" i="24"/>
  <c r="G5" i="24"/>
  <c r="G20" i="24"/>
  <c r="G21" i="24"/>
  <c r="M21" i="24"/>
  <c r="F32" i="5"/>
  <c r="C15" i="29"/>
  <c r="D15" i="29"/>
  <c r="G18" i="25"/>
  <c r="G4" i="25"/>
  <c r="G9" i="25"/>
  <c r="G14" i="25"/>
  <c r="G19" i="25"/>
  <c r="G20" i="25"/>
  <c r="G21" i="25"/>
  <c r="M21" i="25"/>
  <c r="F33" i="5"/>
  <c r="C16" i="29"/>
  <c r="D16" i="29"/>
  <c r="G3" i="27"/>
  <c r="G8" i="27"/>
  <c r="G13" i="27"/>
  <c r="G18" i="27"/>
  <c r="G4" i="27"/>
  <c r="G9" i="27"/>
  <c r="G14" i="27"/>
  <c r="G19" i="27"/>
  <c r="G5" i="27"/>
  <c r="G20" i="27"/>
  <c r="G21" i="27"/>
  <c r="M21" i="27"/>
  <c r="F36" i="5"/>
  <c r="C17" i="29"/>
  <c r="D17" i="29"/>
  <c r="G3" i="1"/>
  <c r="G8" i="1"/>
  <c r="G13" i="1"/>
  <c r="G18" i="1"/>
  <c r="G4" i="1"/>
  <c r="G9" i="1"/>
  <c r="G14" i="1"/>
  <c r="G19" i="1"/>
  <c r="G5" i="1"/>
  <c r="G10" i="1"/>
  <c r="G15" i="1"/>
  <c r="G20" i="1"/>
  <c r="G21" i="1"/>
  <c r="F37" i="5"/>
  <c r="C18" i="29"/>
  <c r="D18" i="29"/>
  <c r="F6" i="5"/>
  <c r="C3" i="29"/>
  <c r="C19" i="29"/>
  <c r="D19" i="29"/>
  <c r="D3" i="29"/>
  <c r="F3" i="10"/>
  <c r="F8" i="10"/>
  <c r="F13" i="10"/>
  <c r="F18" i="10"/>
  <c r="F4" i="10"/>
  <c r="F9" i="10"/>
  <c r="F14" i="10"/>
  <c r="F19" i="10"/>
  <c r="F5" i="10"/>
  <c r="F20" i="10"/>
  <c r="F21" i="10"/>
  <c r="L21" i="10"/>
  <c r="E3" i="10"/>
  <c r="E8" i="10"/>
  <c r="E13" i="10"/>
  <c r="E18" i="10"/>
  <c r="E4" i="10"/>
  <c r="E9" i="10"/>
  <c r="E14" i="10"/>
  <c r="E19" i="10"/>
  <c r="E5" i="10"/>
  <c r="E20" i="10"/>
  <c r="E21" i="10"/>
  <c r="K21" i="10"/>
  <c r="D3" i="10"/>
  <c r="D8" i="10"/>
  <c r="D13" i="10"/>
  <c r="D18" i="10"/>
  <c r="D4" i="10"/>
  <c r="D9" i="10"/>
  <c r="D14" i="10"/>
  <c r="D19" i="10"/>
  <c r="D5" i="10"/>
  <c r="D20" i="10"/>
  <c r="D21" i="10"/>
  <c r="J21" i="10"/>
  <c r="C3" i="10"/>
  <c r="C8" i="10"/>
  <c r="C13" i="10"/>
  <c r="C18" i="10"/>
  <c r="C4" i="10"/>
  <c r="C9" i="10"/>
  <c r="C14" i="10"/>
  <c r="C19" i="10"/>
  <c r="C5" i="10"/>
  <c r="C20" i="10"/>
  <c r="C21" i="10"/>
  <c r="I21" i="10"/>
  <c r="M20" i="10"/>
  <c r="L20" i="10"/>
  <c r="K20" i="10"/>
  <c r="J20" i="10"/>
  <c r="I20" i="10"/>
  <c r="M19" i="10"/>
  <c r="L19" i="10"/>
  <c r="K19" i="10"/>
  <c r="J19" i="10"/>
  <c r="I19" i="10"/>
  <c r="M18" i="10"/>
  <c r="L18" i="10"/>
  <c r="K18" i="10"/>
  <c r="J18" i="10"/>
  <c r="I18" i="10"/>
  <c r="G16" i="10"/>
  <c r="M16" i="10"/>
  <c r="F16" i="10"/>
  <c r="L16" i="10"/>
  <c r="E16" i="10"/>
  <c r="K16" i="10"/>
  <c r="D16" i="10"/>
  <c r="J16" i="10"/>
  <c r="C16" i="10"/>
  <c r="I16" i="10"/>
  <c r="M15" i="10"/>
  <c r="L15" i="10"/>
  <c r="K15" i="10"/>
  <c r="J15" i="10"/>
  <c r="I15" i="10"/>
  <c r="M14" i="10"/>
  <c r="L14" i="10"/>
  <c r="K14" i="10"/>
  <c r="J14" i="10"/>
  <c r="I14" i="10"/>
  <c r="M13" i="10"/>
  <c r="L13" i="10"/>
  <c r="K13" i="10"/>
  <c r="J13" i="10"/>
  <c r="I13" i="10"/>
  <c r="G11" i="10"/>
  <c r="M11" i="10"/>
  <c r="F11" i="10"/>
  <c r="L11" i="10"/>
  <c r="E11" i="10"/>
  <c r="K11" i="10"/>
  <c r="D11" i="10"/>
  <c r="J11" i="10"/>
  <c r="C11" i="10"/>
  <c r="I11" i="10"/>
  <c r="M10" i="10"/>
  <c r="L10" i="10"/>
  <c r="K10" i="10"/>
  <c r="J10" i="10"/>
  <c r="I10" i="10"/>
  <c r="M9" i="10"/>
  <c r="L9" i="10"/>
  <c r="K9" i="10"/>
  <c r="J9" i="10"/>
  <c r="I9" i="10"/>
  <c r="M8" i="10"/>
  <c r="L8" i="10"/>
  <c r="K8" i="10"/>
  <c r="J8" i="10"/>
  <c r="I8" i="10"/>
  <c r="G6" i="10"/>
  <c r="M6" i="10"/>
  <c r="F6" i="10"/>
  <c r="L6" i="10"/>
  <c r="E6" i="10"/>
  <c r="K6" i="10"/>
  <c r="D6" i="10"/>
  <c r="J6" i="10"/>
  <c r="C6" i="10"/>
  <c r="I6" i="10"/>
  <c r="M5" i="10"/>
  <c r="L5" i="10"/>
  <c r="K5" i="10"/>
  <c r="J5" i="10"/>
  <c r="I5" i="10"/>
  <c r="M4" i="10"/>
  <c r="L4" i="10"/>
  <c r="K4" i="10"/>
  <c r="J4" i="10"/>
  <c r="I4" i="10"/>
  <c r="M3" i="10"/>
  <c r="L3" i="10"/>
  <c r="K3" i="10"/>
  <c r="J3" i="10"/>
  <c r="I3" i="10"/>
  <c r="F3" i="11"/>
  <c r="F8" i="11"/>
  <c r="F13" i="11"/>
  <c r="F18" i="11"/>
  <c r="F4" i="11"/>
  <c r="F9" i="11"/>
  <c r="F14" i="11"/>
  <c r="F19" i="11"/>
  <c r="F5" i="11"/>
  <c r="F20" i="11"/>
  <c r="F21" i="11"/>
  <c r="L21" i="11"/>
  <c r="E3" i="11"/>
  <c r="E8" i="11"/>
  <c r="E13" i="11"/>
  <c r="E18" i="11"/>
  <c r="E4" i="11"/>
  <c r="E9" i="11"/>
  <c r="E14" i="11"/>
  <c r="E19" i="11"/>
  <c r="E5" i="11"/>
  <c r="E20" i="11"/>
  <c r="E21" i="11"/>
  <c r="K21" i="11"/>
  <c r="D3" i="11"/>
  <c r="D8" i="11"/>
  <c r="D13" i="11"/>
  <c r="D18" i="11"/>
  <c r="D4" i="11"/>
  <c r="D9" i="11"/>
  <c r="D14" i="11"/>
  <c r="D19" i="11"/>
  <c r="D5" i="11"/>
  <c r="D20" i="11"/>
  <c r="D21" i="11"/>
  <c r="J21" i="11"/>
  <c r="C3" i="11"/>
  <c r="C8" i="11"/>
  <c r="C13" i="11"/>
  <c r="C18" i="11"/>
  <c r="C4" i="11"/>
  <c r="C9" i="11"/>
  <c r="C14" i="11"/>
  <c r="C19" i="11"/>
  <c r="C5" i="11"/>
  <c r="C20" i="11"/>
  <c r="C21" i="11"/>
  <c r="I21" i="11"/>
  <c r="M20" i="11"/>
  <c r="L20" i="11"/>
  <c r="K20" i="11"/>
  <c r="J20" i="11"/>
  <c r="I20" i="11"/>
  <c r="M19" i="11"/>
  <c r="L19" i="11"/>
  <c r="K19" i="11"/>
  <c r="J19" i="11"/>
  <c r="I19" i="11"/>
  <c r="M18" i="11"/>
  <c r="L18" i="11"/>
  <c r="K18" i="11"/>
  <c r="J18" i="11"/>
  <c r="I18" i="11"/>
  <c r="G16" i="11"/>
  <c r="M16" i="11"/>
  <c r="F16" i="11"/>
  <c r="L16" i="11"/>
  <c r="E16" i="11"/>
  <c r="K16" i="11"/>
  <c r="D16" i="11"/>
  <c r="J16" i="11"/>
  <c r="C16" i="11"/>
  <c r="I16" i="11"/>
  <c r="M15" i="11"/>
  <c r="L15" i="11"/>
  <c r="K15" i="11"/>
  <c r="J15" i="11"/>
  <c r="I15" i="11"/>
  <c r="M14" i="11"/>
  <c r="L14" i="11"/>
  <c r="K14" i="11"/>
  <c r="J14" i="11"/>
  <c r="I14" i="11"/>
  <c r="M13" i="11"/>
  <c r="L13" i="11"/>
  <c r="K13" i="11"/>
  <c r="J13" i="11"/>
  <c r="I13" i="11"/>
  <c r="G11" i="11"/>
  <c r="M11" i="11"/>
  <c r="F11" i="11"/>
  <c r="L11" i="11"/>
  <c r="E11" i="11"/>
  <c r="K11" i="11"/>
  <c r="D11" i="11"/>
  <c r="J11" i="11"/>
  <c r="C11" i="11"/>
  <c r="I11" i="11"/>
  <c r="M10" i="11"/>
  <c r="L10" i="11"/>
  <c r="K10" i="11"/>
  <c r="J10" i="11"/>
  <c r="I10" i="11"/>
  <c r="M9" i="11"/>
  <c r="L9" i="11"/>
  <c r="K9" i="11"/>
  <c r="J9" i="11"/>
  <c r="I9" i="11"/>
  <c r="M8" i="11"/>
  <c r="L8" i="11"/>
  <c r="K8" i="11"/>
  <c r="J8" i="11"/>
  <c r="I8" i="11"/>
  <c r="G6" i="11"/>
  <c r="M6" i="11"/>
  <c r="F6" i="11"/>
  <c r="L6" i="11"/>
  <c r="E6" i="11"/>
  <c r="K6" i="11"/>
  <c r="D6" i="11"/>
  <c r="J6" i="11"/>
  <c r="C6" i="11"/>
  <c r="I6" i="11"/>
  <c r="M5" i="11"/>
  <c r="L5" i="11"/>
  <c r="K5" i="11"/>
  <c r="J5" i="11"/>
  <c r="I5" i="11"/>
  <c r="M4" i="11"/>
  <c r="L4" i="11"/>
  <c r="K4" i="11"/>
  <c r="J4" i="11"/>
  <c r="I4" i="11"/>
  <c r="M3" i="11"/>
  <c r="L3" i="11"/>
  <c r="K3" i="11"/>
  <c r="J3" i="11"/>
  <c r="I3" i="11"/>
  <c r="G4" i="12"/>
  <c r="M4" i="12"/>
  <c r="M5" i="12"/>
  <c r="G3" i="12"/>
  <c r="G6" i="12"/>
  <c r="M6" i="12"/>
  <c r="M8" i="12"/>
  <c r="G9" i="12"/>
  <c r="M9" i="12"/>
  <c r="M10" i="12"/>
  <c r="G11" i="12"/>
  <c r="M11" i="12"/>
  <c r="M13" i="12"/>
  <c r="G14" i="12"/>
  <c r="M14" i="12"/>
  <c r="M15" i="12"/>
  <c r="G16" i="12"/>
  <c r="M16" i="12"/>
  <c r="G18" i="12"/>
  <c r="M18" i="12"/>
  <c r="G19" i="12"/>
  <c r="M19" i="12"/>
  <c r="G20" i="12"/>
  <c r="M20" i="12"/>
  <c r="G21" i="12"/>
  <c r="M21" i="12"/>
  <c r="F4" i="12"/>
  <c r="L4" i="12"/>
  <c r="L5" i="12"/>
  <c r="F3" i="12"/>
  <c r="F6" i="12"/>
  <c r="L6" i="12"/>
  <c r="L8" i="12"/>
  <c r="F9" i="12"/>
  <c r="L9" i="12"/>
  <c r="L10" i="12"/>
  <c r="F11" i="12"/>
  <c r="L11" i="12"/>
  <c r="L13" i="12"/>
  <c r="F14" i="12"/>
  <c r="L14" i="12"/>
  <c r="L15" i="12"/>
  <c r="F16" i="12"/>
  <c r="L16" i="12"/>
  <c r="F18" i="12"/>
  <c r="L18" i="12"/>
  <c r="F19" i="12"/>
  <c r="L19" i="12"/>
  <c r="F20" i="12"/>
  <c r="L20" i="12"/>
  <c r="F21" i="12"/>
  <c r="L21" i="12"/>
  <c r="E4" i="12"/>
  <c r="K4" i="12"/>
  <c r="K5" i="12"/>
  <c r="E3" i="12"/>
  <c r="E6" i="12"/>
  <c r="K6" i="12"/>
  <c r="K8" i="12"/>
  <c r="E9" i="12"/>
  <c r="K9" i="12"/>
  <c r="K10" i="12"/>
  <c r="E11" i="12"/>
  <c r="K11" i="12"/>
  <c r="K13" i="12"/>
  <c r="E14" i="12"/>
  <c r="K14" i="12"/>
  <c r="K15" i="12"/>
  <c r="E16" i="12"/>
  <c r="K16" i="12"/>
  <c r="E18" i="12"/>
  <c r="K18" i="12"/>
  <c r="E19" i="12"/>
  <c r="K19" i="12"/>
  <c r="E20" i="12"/>
  <c r="K20" i="12"/>
  <c r="E21" i="12"/>
  <c r="K21" i="12"/>
  <c r="D4" i="12"/>
  <c r="J4" i="12"/>
  <c r="J5" i="12"/>
  <c r="D3" i="12"/>
  <c r="D6" i="12"/>
  <c r="J6" i="12"/>
  <c r="J8" i="12"/>
  <c r="D9" i="12"/>
  <c r="J9" i="12"/>
  <c r="J10" i="12"/>
  <c r="D11" i="12"/>
  <c r="J11" i="12"/>
  <c r="J13" i="12"/>
  <c r="D14" i="12"/>
  <c r="J14" i="12"/>
  <c r="J15" i="12"/>
  <c r="D16" i="12"/>
  <c r="J16" i="12"/>
  <c r="D18" i="12"/>
  <c r="J18" i="12"/>
  <c r="D19" i="12"/>
  <c r="J19" i="12"/>
  <c r="D20" i="12"/>
  <c r="J20" i="12"/>
  <c r="D21" i="12"/>
  <c r="J21" i="12"/>
  <c r="C4" i="12"/>
  <c r="I4" i="12"/>
  <c r="I5" i="12"/>
  <c r="C3" i="12"/>
  <c r="C6" i="12"/>
  <c r="I6" i="12"/>
  <c r="I8" i="12"/>
  <c r="C9" i="12"/>
  <c r="I9" i="12"/>
  <c r="I10" i="12"/>
  <c r="C11" i="12"/>
  <c r="I11" i="12"/>
  <c r="I13" i="12"/>
  <c r="C14" i="12"/>
  <c r="I14" i="12"/>
  <c r="I15" i="12"/>
  <c r="C16" i="12"/>
  <c r="I16" i="12"/>
  <c r="C18" i="12"/>
  <c r="I18" i="12"/>
  <c r="C19" i="12"/>
  <c r="I19" i="12"/>
  <c r="C20" i="12"/>
  <c r="I20" i="12"/>
  <c r="C21" i="12"/>
  <c r="I21" i="12"/>
  <c r="K3" i="12"/>
  <c r="L3" i="12"/>
  <c r="M3" i="12"/>
  <c r="I3" i="12"/>
  <c r="J3" i="12"/>
  <c r="G3" i="14"/>
  <c r="G18" i="14"/>
  <c r="G19" i="14"/>
  <c r="G20" i="14"/>
  <c r="G21" i="14"/>
  <c r="M21" i="14"/>
  <c r="F3" i="14"/>
  <c r="F18" i="14"/>
  <c r="F19" i="14"/>
  <c r="F20" i="14"/>
  <c r="F21" i="14"/>
  <c r="L21" i="14"/>
  <c r="E3" i="14"/>
  <c r="E18" i="14"/>
  <c r="E19" i="14"/>
  <c r="E20" i="14"/>
  <c r="E21" i="14"/>
  <c r="K21" i="14"/>
  <c r="D3" i="14"/>
  <c r="D18" i="14"/>
  <c r="D19" i="14"/>
  <c r="D20" i="14"/>
  <c r="D21" i="14"/>
  <c r="J21" i="14"/>
  <c r="C3" i="14"/>
  <c r="C18" i="14"/>
  <c r="C19" i="14"/>
  <c r="C20" i="14"/>
  <c r="C21" i="14"/>
  <c r="I21" i="14"/>
  <c r="M20" i="14"/>
  <c r="L20" i="14"/>
  <c r="K20" i="14"/>
  <c r="J20" i="14"/>
  <c r="I20" i="14"/>
  <c r="M19" i="14"/>
  <c r="L19" i="14"/>
  <c r="K19" i="14"/>
  <c r="J19" i="14"/>
  <c r="I19" i="14"/>
  <c r="M18" i="14"/>
  <c r="L18" i="14"/>
  <c r="K18" i="14"/>
  <c r="J18" i="14"/>
  <c r="I18" i="14"/>
  <c r="G16" i="14"/>
  <c r="M16" i="14"/>
  <c r="F16" i="14"/>
  <c r="L16" i="14"/>
  <c r="E16" i="14"/>
  <c r="K16" i="14"/>
  <c r="D16" i="14"/>
  <c r="J16" i="14"/>
  <c r="C16" i="14"/>
  <c r="I16" i="14"/>
  <c r="M15" i="14"/>
  <c r="L15" i="14"/>
  <c r="K15" i="14"/>
  <c r="J15" i="14"/>
  <c r="I15" i="14"/>
  <c r="M14" i="14"/>
  <c r="L14" i="14"/>
  <c r="K14" i="14"/>
  <c r="J14" i="14"/>
  <c r="I14" i="14"/>
  <c r="M13" i="14"/>
  <c r="L13" i="14"/>
  <c r="K13" i="14"/>
  <c r="J13" i="14"/>
  <c r="I13" i="14"/>
  <c r="G11" i="14"/>
  <c r="M11" i="14"/>
  <c r="F11" i="14"/>
  <c r="L11" i="14"/>
  <c r="E11" i="14"/>
  <c r="K11" i="14"/>
  <c r="D11" i="14"/>
  <c r="J11" i="14"/>
  <c r="C11" i="14"/>
  <c r="I11" i="14"/>
  <c r="M10" i="14"/>
  <c r="L10" i="14"/>
  <c r="K10" i="14"/>
  <c r="J10" i="14"/>
  <c r="I10" i="14"/>
  <c r="M9" i="14"/>
  <c r="L9" i="14"/>
  <c r="K9" i="14"/>
  <c r="J9" i="14"/>
  <c r="I9" i="14"/>
  <c r="M8" i="14"/>
  <c r="L8" i="14"/>
  <c r="K8" i="14"/>
  <c r="J8" i="14"/>
  <c r="I8" i="14"/>
  <c r="G6" i="14"/>
  <c r="M6" i="14"/>
  <c r="F6" i="14"/>
  <c r="L6" i="14"/>
  <c r="E6" i="14"/>
  <c r="K6" i="14"/>
  <c r="D6" i="14"/>
  <c r="J6" i="14"/>
  <c r="C6" i="14"/>
  <c r="I6" i="14"/>
  <c r="M5" i="14"/>
  <c r="L5" i="14"/>
  <c r="K5" i="14"/>
  <c r="J5" i="14"/>
  <c r="I5" i="14"/>
  <c r="M4" i="14"/>
  <c r="L4" i="14"/>
  <c r="K4" i="14"/>
  <c r="J4" i="14"/>
  <c r="I4" i="14"/>
  <c r="M3" i="14"/>
  <c r="L3" i="14"/>
  <c r="K3" i="14"/>
  <c r="J3" i="14"/>
  <c r="I3" i="14"/>
  <c r="F8" i="15"/>
  <c r="F13" i="15"/>
  <c r="F18" i="15"/>
  <c r="F9" i="15"/>
  <c r="F19" i="15"/>
  <c r="F20" i="15"/>
  <c r="F21" i="15"/>
  <c r="L21" i="15"/>
  <c r="E8" i="15"/>
  <c r="E13" i="15"/>
  <c r="E18" i="15"/>
  <c r="E9" i="15"/>
  <c r="E19" i="15"/>
  <c r="E20" i="15"/>
  <c r="E21" i="15"/>
  <c r="K21" i="15"/>
  <c r="D8" i="15"/>
  <c r="D13" i="15"/>
  <c r="D18" i="15"/>
  <c r="D9" i="15"/>
  <c r="D19" i="15"/>
  <c r="D20" i="15"/>
  <c r="D21" i="15"/>
  <c r="J21" i="15"/>
  <c r="C8" i="15"/>
  <c r="C13" i="15"/>
  <c r="C18" i="15"/>
  <c r="C9" i="15"/>
  <c r="C19" i="15"/>
  <c r="C20" i="15"/>
  <c r="C21" i="15"/>
  <c r="I21" i="15"/>
  <c r="M4" i="15"/>
  <c r="M5" i="15"/>
  <c r="G6" i="15"/>
  <c r="M6" i="15"/>
  <c r="M8" i="15"/>
  <c r="M9" i="15"/>
  <c r="M10" i="15"/>
  <c r="G11" i="15"/>
  <c r="M11" i="15"/>
  <c r="M13" i="15"/>
  <c r="M14" i="15"/>
  <c r="M15" i="15"/>
  <c r="G16" i="15"/>
  <c r="M16" i="15"/>
  <c r="M18" i="15"/>
  <c r="M19" i="15"/>
  <c r="M20" i="15"/>
  <c r="L4" i="15"/>
  <c r="L5" i="15"/>
  <c r="F6" i="15"/>
  <c r="L6" i="15"/>
  <c r="L8" i="15"/>
  <c r="L9" i="15"/>
  <c r="L10" i="15"/>
  <c r="F11" i="15"/>
  <c r="L11" i="15"/>
  <c r="L13" i="15"/>
  <c r="L14" i="15"/>
  <c r="L15" i="15"/>
  <c r="F16" i="15"/>
  <c r="L16" i="15"/>
  <c r="L18" i="15"/>
  <c r="L19" i="15"/>
  <c r="L20" i="15"/>
  <c r="K4" i="15"/>
  <c r="K5" i="15"/>
  <c r="E6" i="15"/>
  <c r="K6" i="15"/>
  <c r="K8" i="15"/>
  <c r="K9" i="15"/>
  <c r="K10" i="15"/>
  <c r="E11" i="15"/>
  <c r="K11" i="15"/>
  <c r="K13" i="15"/>
  <c r="K14" i="15"/>
  <c r="K15" i="15"/>
  <c r="E16" i="15"/>
  <c r="K16" i="15"/>
  <c r="K18" i="15"/>
  <c r="K19" i="15"/>
  <c r="K20" i="15"/>
  <c r="J4" i="15"/>
  <c r="J5" i="15"/>
  <c r="D6" i="15"/>
  <c r="J6" i="15"/>
  <c r="J8" i="15"/>
  <c r="J9" i="15"/>
  <c r="J10" i="15"/>
  <c r="D11" i="15"/>
  <c r="J11" i="15"/>
  <c r="J13" i="15"/>
  <c r="J14" i="15"/>
  <c r="J15" i="15"/>
  <c r="D16" i="15"/>
  <c r="J16" i="15"/>
  <c r="J18" i="15"/>
  <c r="J19" i="15"/>
  <c r="J20" i="15"/>
  <c r="I4" i="15"/>
  <c r="I5" i="15"/>
  <c r="C6" i="15"/>
  <c r="I6" i="15"/>
  <c r="I8" i="15"/>
  <c r="I9" i="15"/>
  <c r="I10" i="15"/>
  <c r="C11" i="15"/>
  <c r="I11" i="15"/>
  <c r="I13" i="15"/>
  <c r="I14" i="15"/>
  <c r="I15" i="15"/>
  <c r="C16" i="15"/>
  <c r="I16" i="15"/>
  <c r="I18" i="15"/>
  <c r="I19" i="15"/>
  <c r="I20" i="15"/>
  <c r="L3" i="15"/>
  <c r="K3" i="15"/>
  <c r="M3" i="15"/>
  <c r="J3" i="15"/>
  <c r="I3" i="15"/>
  <c r="F18" i="16"/>
  <c r="F9" i="16"/>
  <c r="F14" i="16"/>
  <c r="F19" i="16"/>
  <c r="F20" i="16"/>
  <c r="F21" i="16"/>
  <c r="L21" i="16"/>
  <c r="E18" i="16"/>
  <c r="E9" i="16"/>
  <c r="E14" i="16"/>
  <c r="E19" i="16"/>
  <c r="E20" i="16"/>
  <c r="E21" i="16"/>
  <c r="K21" i="16"/>
  <c r="D18" i="16"/>
  <c r="D9" i="16"/>
  <c r="D14" i="16"/>
  <c r="D19" i="16"/>
  <c r="D20" i="16"/>
  <c r="D21" i="16"/>
  <c r="J21" i="16"/>
  <c r="C18" i="16"/>
  <c r="C9" i="16"/>
  <c r="C14" i="16"/>
  <c r="C19" i="16"/>
  <c r="C20" i="16"/>
  <c r="C21" i="16"/>
  <c r="I21" i="16"/>
  <c r="M20" i="16"/>
  <c r="L20" i="16"/>
  <c r="K20" i="16"/>
  <c r="J20" i="16"/>
  <c r="I20" i="16"/>
  <c r="M19" i="16"/>
  <c r="L19" i="16"/>
  <c r="K19" i="16"/>
  <c r="J19" i="16"/>
  <c r="I19" i="16"/>
  <c r="M18" i="16"/>
  <c r="L18" i="16"/>
  <c r="K18" i="16"/>
  <c r="J18" i="16"/>
  <c r="I18" i="16"/>
  <c r="G16" i="16"/>
  <c r="M16" i="16"/>
  <c r="F16" i="16"/>
  <c r="L16" i="16"/>
  <c r="E16" i="16"/>
  <c r="K16" i="16"/>
  <c r="D16" i="16"/>
  <c r="J16" i="16"/>
  <c r="C16" i="16"/>
  <c r="I16" i="16"/>
  <c r="M15" i="16"/>
  <c r="L15" i="16"/>
  <c r="K15" i="16"/>
  <c r="J15" i="16"/>
  <c r="I15" i="16"/>
  <c r="M14" i="16"/>
  <c r="L14" i="16"/>
  <c r="K14" i="16"/>
  <c r="J14" i="16"/>
  <c r="I14" i="16"/>
  <c r="M13" i="16"/>
  <c r="L13" i="16"/>
  <c r="K13" i="16"/>
  <c r="J13" i="16"/>
  <c r="I13" i="16"/>
  <c r="G11" i="16"/>
  <c r="M11" i="16"/>
  <c r="F11" i="16"/>
  <c r="L11" i="16"/>
  <c r="E11" i="16"/>
  <c r="K11" i="16"/>
  <c r="D11" i="16"/>
  <c r="J11" i="16"/>
  <c r="C11" i="16"/>
  <c r="I11" i="16"/>
  <c r="M10" i="16"/>
  <c r="L10" i="16"/>
  <c r="K10" i="16"/>
  <c r="J10" i="16"/>
  <c r="I10" i="16"/>
  <c r="M9" i="16"/>
  <c r="L9" i="16"/>
  <c r="K9" i="16"/>
  <c r="J9" i="16"/>
  <c r="I9" i="16"/>
  <c r="M8" i="16"/>
  <c r="L8" i="16"/>
  <c r="K8" i="16"/>
  <c r="J8" i="16"/>
  <c r="I8" i="16"/>
  <c r="G6" i="16"/>
  <c r="M6" i="16"/>
  <c r="F6" i="16"/>
  <c r="L6" i="16"/>
  <c r="E6" i="16"/>
  <c r="K6" i="16"/>
  <c r="D6" i="16"/>
  <c r="J6" i="16"/>
  <c r="C6" i="16"/>
  <c r="I6" i="16"/>
  <c r="M5" i="16"/>
  <c r="L5" i="16"/>
  <c r="K5" i="16"/>
  <c r="J5" i="16"/>
  <c r="I5" i="16"/>
  <c r="M4" i="16"/>
  <c r="L4" i="16"/>
  <c r="K4" i="16"/>
  <c r="J4" i="16"/>
  <c r="I4" i="16"/>
  <c r="M3" i="16"/>
  <c r="L3" i="16"/>
  <c r="K3" i="16"/>
  <c r="J3" i="16"/>
  <c r="I3" i="16"/>
  <c r="M4" i="17"/>
  <c r="M5" i="17"/>
  <c r="M6" i="17"/>
  <c r="M8" i="17"/>
  <c r="M9" i="17"/>
  <c r="M10" i="17"/>
  <c r="G11" i="17"/>
  <c r="M11" i="17"/>
  <c r="M13" i="17"/>
  <c r="M14" i="17"/>
  <c r="M15" i="17"/>
  <c r="G16" i="17"/>
  <c r="M16" i="17"/>
  <c r="M18" i="17"/>
  <c r="M19" i="17"/>
  <c r="M20" i="17"/>
  <c r="L4" i="17"/>
  <c r="L5" i="17"/>
  <c r="L6" i="17"/>
  <c r="F8" i="17"/>
  <c r="L8" i="17"/>
  <c r="L9" i="17"/>
  <c r="F10" i="17"/>
  <c r="L10" i="17"/>
  <c r="F11" i="17"/>
  <c r="L11" i="17"/>
  <c r="F13" i="17"/>
  <c r="L13" i="17"/>
  <c r="F14" i="17"/>
  <c r="L14" i="17"/>
  <c r="L15" i="17"/>
  <c r="F16" i="17"/>
  <c r="L16" i="17"/>
  <c r="F18" i="17"/>
  <c r="L18" i="17"/>
  <c r="F19" i="17"/>
  <c r="L19" i="17"/>
  <c r="F20" i="17"/>
  <c r="L20" i="17"/>
  <c r="F21" i="17"/>
  <c r="L21" i="17"/>
  <c r="E8" i="17"/>
  <c r="K8" i="17"/>
  <c r="K9" i="17"/>
  <c r="E10" i="17"/>
  <c r="K10" i="17"/>
  <c r="E11" i="17"/>
  <c r="K11" i="17"/>
  <c r="E13" i="17"/>
  <c r="K13" i="17"/>
  <c r="E14" i="17"/>
  <c r="K14" i="17"/>
  <c r="K15" i="17"/>
  <c r="E16" i="17"/>
  <c r="K16" i="17"/>
  <c r="E18" i="17"/>
  <c r="K18" i="17"/>
  <c r="E19" i="17"/>
  <c r="K19" i="17"/>
  <c r="E20" i="17"/>
  <c r="K20" i="17"/>
  <c r="E21" i="17"/>
  <c r="K21" i="17"/>
  <c r="K4" i="17"/>
  <c r="K5" i="17"/>
  <c r="K6" i="17"/>
  <c r="J4" i="17"/>
  <c r="J5" i="17"/>
  <c r="J6" i="17"/>
  <c r="D8" i="17"/>
  <c r="J8" i="17"/>
  <c r="J9" i="17"/>
  <c r="D10" i="17"/>
  <c r="J10" i="17"/>
  <c r="D11" i="17"/>
  <c r="J11" i="17"/>
  <c r="D13" i="17"/>
  <c r="J13" i="17"/>
  <c r="D14" i="17"/>
  <c r="J14" i="17"/>
  <c r="J15" i="17"/>
  <c r="D16" i="17"/>
  <c r="J16" i="17"/>
  <c r="D18" i="17"/>
  <c r="J18" i="17"/>
  <c r="D19" i="17"/>
  <c r="J19" i="17"/>
  <c r="D20" i="17"/>
  <c r="J20" i="17"/>
  <c r="D21" i="17"/>
  <c r="J21" i="17"/>
  <c r="I4" i="17"/>
  <c r="I5" i="17"/>
  <c r="I6" i="17"/>
  <c r="C8" i="17"/>
  <c r="I8" i="17"/>
  <c r="I9" i="17"/>
  <c r="C10" i="17"/>
  <c r="I10" i="17"/>
  <c r="C11" i="17"/>
  <c r="I11" i="17"/>
  <c r="C13" i="17"/>
  <c r="I13" i="17"/>
  <c r="C14" i="17"/>
  <c r="I14" i="17"/>
  <c r="I15" i="17"/>
  <c r="C16" i="17"/>
  <c r="I16" i="17"/>
  <c r="C18" i="17"/>
  <c r="I18" i="17"/>
  <c r="C19" i="17"/>
  <c r="I19" i="17"/>
  <c r="C20" i="17"/>
  <c r="I20" i="17"/>
  <c r="C21" i="17"/>
  <c r="I21" i="17"/>
  <c r="L3" i="17"/>
  <c r="K3" i="17"/>
  <c r="M3" i="17"/>
  <c r="J3" i="17"/>
  <c r="I3" i="17"/>
  <c r="D4" i="18"/>
  <c r="D9" i="18"/>
  <c r="D19" i="18"/>
  <c r="C4" i="18"/>
  <c r="C9" i="18"/>
  <c r="C19" i="18"/>
  <c r="C3" i="18"/>
  <c r="C18" i="18"/>
  <c r="F4" i="18"/>
  <c r="F9" i="18"/>
  <c r="F19" i="18"/>
  <c r="D3" i="18"/>
  <c r="D18" i="18"/>
  <c r="J18" i="18"/>
  <c r="J19" i="18"/>
  <c r="E3" i="18"/>
  <c r="E18" i="18"/>
  <c r="K18" i="18"/>
  <c r="I18" i="18"/>
  <c r="J9" i="18"/>
  <c r="G4" i="18"/>
  <c r="M4" i="18"/>
  <c r="G5" i="18"/>
  <c r="M5" i="18"/>
  <c r="G3" i="18"/>
  <c r="G6" i="18"/>
  <c r="M6" i="18"/>
  <c r="M8" i="18"/>
  <c r="G9" i="18"/>
  <c r="M9" i="18"/>
  <c r="G10" i="18"/>
  <c r="M10" i="18"/>
  <c r="G11" i="18"/>
  <c r="M11" i="18"/>
  <c r="M13" i="18"/>
  <c r="M14" i="18"/>
  <c r="G15" i="18"/>
  <c r="M15" i="18"/>
  <c r="G16" i="18"/>
  <c r="M16" i="18"/>
  <c r="G18" i="18"/>
  <c r="M18" i="18"/>
  <c r="G19" i="18"/>
  <c r="M19" i="18"/>
  <c r="G20" i="18"/>
  <c r="M20" i="18"/>
  <c r="G21" i="18"/>
  <c r="M21" i="18"/>
  <c r="L4" i="18"/>
  <c r="F5" i="18"/>
  <c r="L5" i="18"/>
  <c r="F3" i="18"/>
  <c r="F6" i="18"/>
  <c r="L6" i="18"/>
  <c r="L8" i="18"/>
  <c r="L9" i="18"/>
  <c r="F10" i="18"/>
  <c r="L10" i="18"/>
  <c r="F11" i="18"/>
  <c r="L11" i="18"/>
  <c r="L13" i="18"/>
  <c r="L14" i="18"/>
  <c r="F15" i="18"/>
  <c r="L15" i="18"/>
  <c r="F16" i="18"/>
  <c r="L16" i="18"/>
  <c r="F18" i="18"/>
  <c r="L18" i="18"/>
  <c r="L19" i="18"/>
  <c r="F20" i="18"/>
  <c r="L20" i="18"/>
  <c r="F21" i="18"/>
  <c r="L21" i="18"/>
  <c r="E4" i="18"/>
  <c r="K4" i="18"/>
  <c r="E5" i="18"/>
  <c r="K5" i="18"/>
  <c r="E6" i="18"/>
  <c r="K6" i="18"/>
  <c r="K8" i="18"/>
  <c r="E9" i="18"/>
  <c r="K9" i="18"/>
  <c r="E10" i="18"/>
  <c r="K10" i="18"/>
  <c r="E11" i="18"/>
  <c r="K11" i="18"/>
  <c r="K13" i="18"/>
  <c r="K14" i="18"/>
  <c r="E15" i="18"/>
  <c r="K15" i="18"/>
  <c r="E16" i="18"/>
  <c r="K16" i="18"/>
  <c r="E19" i="18"/>
  <c r="K19" i="18"/>
  <c r="E20" i="18"/>
  <c r="K20" i="18"/>
  <c r="E21" i="18"/>
  <c r="K21" i="18"/>
  <c r="J4" i="18"/>
  <c r="D5" i="18"/>
  <c r="J5" i="18"/>
  <c r="D6" i="18"/>
  <c r="J6" i="18"/>
  <c r="J8" i="18"/>
  <c r="D10" i="18"/>
  <c r="J10" i="18"/>
  <c r="D11" i="18"/>
  <c r="J11" i="18"/>
  <c r="J13" i="18"/>
  <c r="J14" i="18"/>
  <c r="D15" i="18"/>
  <c r="J15" i="18"/>
  <c r="D16" i="18"/>
  <c r="J16" i="18"/>
  <c r="D20" i="18"/>
  <c r="J20" i="18"/>
  <c r="D21" i="18"/>
  <c r="J21" i="18"/>
  <c r="I4" i="18"/>
  <c r="C5" i="18"/>
  <c r="I5" i="18"/>
  <c r="C6" i="18"/>
  <c r="I6" i="18"/>
  <c r="I8" i="18"/>
  <c r="I9" i="18"/>
  <c r="C10" i="18"/>
  <c r="I10" i="18"/>
  <c r="C11" i="18"/>
  <c r="I11" i="18"/>
  <c r="I13" i="18"/>
  <c r="I14" i="18"/>
  <c r="C15" i="18"/>
  <c r="I15" i="18"/>
  <c r="C16" i="18"/>
  <c r="I16" i="18"/>
  <c r="I19" i="18"/>
  <c r="C20" i="18"/>
  <c r="I20" i="18"/>
  <c r="C21" i="18"/>
  <c r="I21" i="18"/>
  <c r="L3" i="18"/>
  <c r="K3" i="18"/>
  <c r="M3" i="18"/>
  <c r="J3" i="18"/>
  <c r="I3" i="18"/>
  <c r="D9" i="20"/>
  <c r="I3" i="20"/>
  <c r="M3" i="20"/>
  <c r="L3" i="20"/>
  <c r="K3" i="20"/>
  <c r="J3" i="20"/>
  <c r="D19" i="20"/>
  <c r="J19" i="20"/>
  <c r="M4" i="20"/>
  <c r="M5" i="20"/>
  <c r="M6" i="20"/>
  <c r="M8" i="20"/>
  <c r="G9" i="20"/>
  <c r="M9" i="20"/>
  <c r="M10" i="20"/>
  <c r="G11" i="20"/>
  <c r="M11" i="20"/>
  <c r="M13" i="20"/>
  <c r="M14" i="20"/>
  <c r="M15" i="20"/>
  <c r="M16" i="20"/>
  <c r="G18" i="20"/>
  <c r="M18" i="20"/>
  <c r="G19" i="20"/>
  <c r="M19" i="20"/>
  <c r="G20" i="20"/>
  <c r="M20" i="20"/>
  <c r="G21" i="20"/>
  <c r="M21" i="20"/>
  <c r="L4" i="20"/>
  <c r="L5" i="20"/>
  <c r="L6" i="20"/>
  <c r="L8" i="20"/>
  <c r="F9" i="20"/>
  <c r="L9" i="20"/>
  <c r="L10" i="20"/>
  <c r="F11" i="20"/>
  <c r="L11" i="20"/>
  <c r="L13" i="20"/>
  <c r="L14" i="20"/>
  <c r="L15" i="20"/>
  <c r="L16" i="20"/>
  <c r="F18" i="20"/>
  <c r="L18" i="20"/>
  <c r="F19" i="20"/>
  <c r="L19" i="20"/>
  <c r="F20" i="20"/>
  <c r="L20" i="20"/>
  <c r="F21" i="20"/>
  <c r="L21" i="20"/>
  <c r="K4" i="20"/>
  <c r="K5" i="20"/>
  <c r="K6" i="20"/>
  <c r="K8" i="20"/>
  <c r="E9" i="20"/>
  <c r="K9" i="20"/>
  <c r="K10" i="20"/>
  <c r="E11" i="20"/>
  <c r="K11" i="20"/>
  <c r="K13" i="20"/>
  <c r="K14" i="20"/>
  <c r="K15" i="20"/>
  <c r="K16" i="20"/>
  <c r="E18" i="20"/>
  <c r="K18" i="20"/>
  <c r="E19" i="20"/>
  <c r="K19" i="20"/>
  <c r="E20" i="20"/>
  <c r="K20" i="20"/>
  <c r="E21" i="20"/>
  <c r="K21" i="20"/>
  <c r="J4" i="20"/>
  <c r="J5" i="20"/>
  <c r="J6" i="20"/>
  <c r="J8" i="20"/>
  <c r="J9" i="20"/>
  <c r="J10" i="20"/>
  <c r="D11" i="20"/>
  <c r="J11" i="20"/>
  <c r="J13" i="20"/>
  <c r="J14" i="20"/>
  <c r="J15" i="20"/>
  <c r="J16" i="20"/>
  <c r="D18" i="20"/>
  <c r="J18" i="20"/>
  <c r="D20" i="20"/>
  <c r="J20" i="20"/>
  <c r="D21" i="20"/>
  <c r="J21" i="20"/>
  <c r="I4" i="20"/>
  <c r="I5" i="20"/>
  <c r="I6" i="20"/>
  <c r="I8" i="20"/>
  <c r="C9" i="20"/>
  <c r="I9" i="20"/>
  <c r="I10" i="20"/>
  <c r="C11" i="20"/>
  <c r="I11" i="20"/>
  <c r="I13" i="20"/>
  <c r="I14" i="20"/>
  <c r="I15" i="20"/>
  <c r="I16" i="20"/>
  <c r="C18" i="20"/>
  <c r="I18" i="20"/>
  <c r="C19" i="20"/>
  <c r="I19" i="20"/>
  <c r="C20" i="20"/>
  <c r="I20" i="20"/>
  <c r="C21" i="20"/>
  <c r="I21" i="20"/>
  <c r="F18" i="21"/>
  <c r="F9" i="21"/>
  <c r="F14" i="21"/>
  <c r="F19" i="21"/>
  <c r="F20" i="21"/>
  <c r="F21" i="21"/>
  <c r="L21" i="21"/>
  <c r="E18" i="21"/>
  <c r="E9" i="21"/>
  <c r="E14" i="21"/>
  <c r="E19" i="21"/>
  <c r="E20" i="21"/>
  <c r="E21" i="21"/>
  <c r="K21" i="21"/>
  <c r="D18" i="21"/>
  <c r="D9" i="21"/>
  <c r="D14" i="21"/>
  <c r="D19" i="21"/>
  <c r="D20" i="21"/>
  <c r="D21" i="21"/>
  <c r="J21" i="21"/>
  <c r="C18" i="21"/>
  <c r="C9" i="21"/>
  <c r="C14" i="21"/>
  <c r="C19" i="21"/>
  <c r="C20" i="21"/>
  <c r="C21" i="21"/>
  <c r="I21" i="21"/>
  <c r="M20" i="21"/>
  <c r="L20" i="21"/>
  <c r="K20" i="21"/>
  <c r="J20" i="21"/>
  <c r="I20" i="21"/>
  <c r="M19" i="21"/>
  <c r="L19" i="21"/>
  <c r="K19" i="21"/>
  <c r="J19" i="21"/>
  <c r="I19" i="21"/>
  <c r="M18" i="21"/>
  <c r="L18" i="21"/>
  <c r="K18" i="21"/>
  <c r="J18" i="21"/>
  <c r="I18" i="21"/>
  <c r="G16" i="21"/>
  <c r="M16" i="21"/>
  <c r="F16" i="21"/>
  <c r="L16" i="21"/>
  <c r="E16" i="21"/>
  <c r="K16" i="21"/>
  <c r="D16" i="21"/>
  <c r="J16" i="21"/>
  <c r="C16" i="21"/>
  <c r="I16" i="21"/>
  <c r="M15" i="21"/>
  <c r="L15" i="21"/>
  <c r="K15" i="21"/>
  <c r="J15" i="21"/>
  <c r="I15" i="21"/>
  <c r="M14" i="21"/>
  <c r="L14" i="21"/>
  <c r="K14" i="21"/>
  <c r="J14" i="21"/>
  <c r="I14" i="21"/>
  <c r="M13" i="21"/>
  <c r="L13" i="21"/>
  <c r="K13" i="21"/>
  <c r="J13" i="21"/>
  <c r="I13" i="21"/>
  <c r="G11" i="21"/>
  <c r="M11" i="21"/>
  <c r="F11" i="21"/>
  <c r="L11" i="21"/>
  <c r="E11" i="21"/>
  <c r="K11" i="21"/>
  <c r="D11" i="21"/>
  <c r="J11" i="21"/>
  <c r="C11" i="21"/>
  <c r="I11" i="21"/>
  <c r="M10" i="21"/>
  <c r="L10" i="21"/>
  <c r="K10" i="21"/>
  <c r="J10" i="21"/>
  <c r="I10" i="21"/>
  <c r="M9" i="21"/>
  <c r="L9" i="21"/>
  <c r="K9" i="21"/>
  <c r="J9" i="21"/>
  <c r="I9" i="21"/>
  <c r="M8" i="21"/>
  <c r="L8" i="21"/>
  <c r="K8" i="21"/>
  <c r="J8" i="21"/>
  <c r="I8" i="21"/>
  <c r="M6" i="21"/>
  <c r="L6" i="21"/>
  <c r="K6" i="21"/>
  <c r="J6" i="21"/>
  <c r="I6" i="21"/>
  <c r="M5" i="21"/>
  <c r="L5" i="21"/>
  <c r="K5" i="21"/>
  <c r="J5" i="21"/>
  <c r="I5" i="21"/>
  <c r="M4" i="21"/>
  <c r="L4" i="21"/>
  <c r="K4" i="21"/>
  <c r="J4" i="21"/>
  <c r="I4" i="21"/>
  <c r="M3" i="21"/>
  <c r="L3" i="21"/>
  <c r="K3" i="21"/>
  <c r="J3" i="21"/>
  <c r="I3" i="21"/>
  <c r="M4" i="28"/>
  <c r="M5" i="28"/>
  <c r="M6" i="28"/>
  <c r="M8" i="28"/>
  <c r="M9" i="28"/>
  <c r="M10" i="28"/>
  <c r="G11" i="28"/>
  <c r="M11" i="28"/>
  <c r="M13" i="28"/>
  <c r="M14" i="28"/>
  <c r="M15" i="28"/>
  <c r="G16" i="28"/>
  <c r="M16" i="28"/>
  <c r="M18" i="28"/>
  <c r="M19" i="28"/>
  <c r="M20" i="28"/>
  <c r="L4" i="28"/>
  <c r="L5" i="28"/>
  <c r="L6" i="28"/>
  <c r="L8" i="28"/>
  <c r="F9" i="28"/>
  <c r="L9" i="28"/>
  <c r="F10" i="28"/>
  <c r="L10" i="28"/>
  <c r="F11" i="28"/>
  <c r="L11" i="28"/>
  <c r="L13" i="28"/>
  <c r="L14" i="28"/>
  <c r="F15" i="28"/>
  <c r="L15" i="28"/>
  <c r="F16" i="28"/>
  <c r="L16" i="28"/>
  <c r="F18" i="28"/>
  <c r="L18" i="28"/>
  <c r="F19" i="28"/>
  <c r="L19" i="28"/>
  <c r="F20" i="28"/>
  <c r="L20" i="28"/>
  <c r="F21" i="28"/>
  <c r="L21" i="28"/>
  <c r="K4" i="28"/>
  <c r="K5" i="28"/>
  <c r="K6" i="28"/>
  <c r="K8" i="28"/>
  <c r="E9" i="28"/>
  <c r="K9" i="28"/>
  <c r="E10" i="28"/>
  <c r="K10" i="28"/>
  <c r="E11" i="28"/>
  <c r="K11" i="28"/>
  <c r="K13" i="28"/>
  <c r="K14" i="28"/>
  <c r="E15" i="28"/>
  <c r="K15" i="28"/>
  <c r="E16" i="28"/>
  <c r="K16" i="28"/>
  <c r="E18" i="28"/>
  <c r="K18" i="28"/>
  <c r="E19" i="28"/>
  <c r="K19" i="28"/>
  <c r="E20" i="28"/>
  <c r="K20" i="28"/>
  <c r="E21" i="28"/>
  <c r="K21" i="28"/>
  <c r="J4" i="28"/>
  <c r="J5" i="28"/>
  <c r="J6" i="28"/>
  <c r="J8" i="28"/>
  <c r="D9" i="28"/>
  <c r="J9" i="28"/>
  <c r="D10" i="28"/>
  <c r="J10" i="28"/>
  <c r="D11" i="28"/>
  <c r="J11" i="28"/>
  <c r="J13" i="28"/>
  <c r="J14" i="28"/>
  <c r="D15" i="28"/>
  <c r="J15" i="28"/>
  <c r="D16" i="28"/>
  <c r="J16" i="28"/>
  <c r="D18" i="28"/>
  <c r="J18" i="28"/>
  <c r="D19" i="28"/>
  <c r="J19" i="28"/>
  <c r="D20" i="28"/>
  <c r="J20" i="28"/>
  <c r="D21" i="28"/>
  <c r="J21" i="28"/>
  <c r="I4" i="28"/>
  <c r="I5" i="28"/>
  <c r="I6" i="28"/>
  <c r="I8" i="28"/>
  <c r="C9" i="28"/>
  <c r="I9" i="28"/>
  <c r="C10" i="28"/>
  <c r="I10" i="28"/>
  <c r="C11" i="28"/>
  <c r="I11" i="28"/>
  <c r="I13" i="28"/>
  <c r="I14" i="28"/>
  <c r="C15" i="28"/>
  <c r="I15" i="28"/>
  <c r="C16" i="28"/>
  <c r="I16" i="28"/>
  <c r="C18" i="28"/>
  <c r="I18" i="28"/>
  <c r="C19" i="28"/>
  <c r="I19" i="28"/>
  <c r="C20" i="28"/>
  <c r="I20" i="28"/>
  <c r="C21" i="28"/>
  <c r="I21" i="28"/>
  <c r="L3" i="28"/>
  <c r="K3" i="28"/>
  <c r="M3" i="28"/>
  <c r="J3" i="28"/>
  <c r="I3" i="28"/>
  <c r="M4" i="22"/>
  <c r="M5" i="22"/>
  <c r="G6" i="22"/>
  <c r="M6" i="22"/>
  <c r="M8" i="22"/>
  <c r="M9" i="22"/>
  <c r="M10" i="22"/>
  <c r="G11" i="22"/>
  <c r="M11" i="22"/>
  <c r="M13" i="22"/>
  <c r="M14" i="22"/>
  <c r="M15" i="22"/>
  <c r="G16" i="22"/>
  <c r="M16" i="22"/>
  <c r="M18" i="22"/>
  <c r="M19" i="22"/>
  <c r="M20" i="22"/>
  <c r="F4" i="22"/>
  <c r="L4" i="22"/>
  <c r="L5" i="22"/>
  <c r="F3" i="22"/>
  <c r="F6" i="22"/>
  <c r="L6" i="22"/>
  <c r="F8" i="22"/>
  <c r="L8" i="22"/>
  <c r="F9" i="22"/>
  <c r="L9" i="22"/>
  <c r="F10" i="22"/>
  <c r="L10" i="22"/>
  <c r="F11" i="22"/>
  <c r="L11" i="22"/>
  <c r="F13" i="22"/>
  <c r="L13" i="22"/>
  <c r="F14" i="22"/>
  <c r="L14" i="22"/>
  <c r="F15" i="22"/>
  <c r="L15" i="22"/>
  <c r="F16" i="22"/>
  <c r="L16" i="22"/>
  <c r="F18" i="22"/>
  <c r="L18" i="22"/>
  <c r="F19" i="22"/>
  <c r="L19" i="22"/>
  <c r="F20" i="22"/>
  <c r="L20" i="22"/>
  <c r="F21" i="22"/>
  <c r="L21" i="22"/>
  <c r="E4" i="22"/>
  <c r="K4" i="22"/>
  <c r="K5" i="22"/>
  <c r="E3" i="22"/>
  <c r="E6" i="22"/>
  <c r="K6" i="22"/>
  <c r="E8" i="22"/>
  <c r="K8" i="22"/>
  <c r="E9" i="22"/>
  <c r="K9" i="22"/>
  <c r="E10" i="22"/>
  <c r="K10" i="22"/>
  <c r="E11" i="22"/>
  <c r="K11" i="22"/>
  <c r="E13" i="22"/>
  <c r="K13" i="22"/>
  <c r="E14" i="22"/>
  <c r="K14" i="22"/>
  <c r="E15" i="22"/>
  <c r="K15" i="22"/>
  <c r="E16" i="22"/>
  <c r="K16" i="22"/>
  <c r="E18" i="22"/>
  <c r="K18" i="22"/>
  <c r="E19" i="22"/>
  <c r="K19" i="22"/>
  <c r="E20" i="22"/>
  <c r="K20" i="22"/>
  <c r="E21" i="22"/>
  <c r="K21" i="22"/>
  <c r="D4" i="22"/>
  <c r="J4" i="22"/>
  <c r="J5" i="22"/>
  <c r="D3" i="22"/>
  <c r="D6" i="22"/>
  <c r="J6" i="22"/>
  <c r="D8" i="22"/>
  <c r="J8" i="22"/>
  <c r="D9" i="22"/>
  <c r="J9" i="22"/>
  <c r="D10" i="22"/>
  <c r="J10" i="22"/>
  <c r="D11" i="22"/>
  <c r="J11" i="22"/>
  <c r="D13" i="22"/>
  <c r="J13" i="22"/>
  <c r="D14" i="22"/>
  <c r="J14" i="22"/>
  <c r="D15" i="22"/>
  <c r="J15" i="22"/>
  <c r="D16" i="22"/>
  <c r="J16" i="22"/>
  <c r="D18" i="22"/>
  <c r="J18" i="22"/>
  <c r="D19" i="22"/>
  <c r="J19" i="22"/>
  <c r="D20" i="22"/>
  <c r="J20" i="22"/>
  <c r="D21" i="22"/>
  <c r="J21" i="22"/>
  <c r="C4" i="22"/>
  <c r="I4" i="22"/>
  <c r="I5" i="22"/>
  <c r="C3" i="22"/>
  <c r="C6" i="22"/>
  <c r="I6" i="22"/>
  <c r="C8" i="22"/>
  <c r="I8" i="22"/>
  <c r="C9" i="22"/>
  <c r="I9" i="22"/>
  <c r="C10" i="22"/>
  <c r="I10" i="22"/>
  <c r="C11" i="22"/>
  <c r="I11" i="22"/>
  <c r="C13" i="22"/>
  <c r="I13" i="22"/>
  <c r="C14" i="22"/>
  <c r="I14" i="22"/>
  <c r="C15" i="22"/>
  <c r="I15" i="22"/>
  <c r="C16" i="22"/>
  <c r="I16" i="22"/>
  <c r="C18" i="22"/>
  <c r="I18" i="22"/>
  <c r="C19" i="22"/>
  <c r="I19" i="22"/>
  <c r="C20" i="22"/>
  <c r="I20" i="22"/>
  <c r="C21" i="22"/>
  <c r="I21" i="22"/>
  <c r="L3" i="22"/>
  <c r="K3" i="22"/>
  <c r="M3" i="22"/>
  <c r="J3" i="22"/>
  <c r="I3" i="22"/>
  <c r="G4" i="23"/>
  <c r="M4" i="23"/>
  <c r="M5" i="23"/>
  <c r="G3" i="23"/>
  <c r="G6" i="23"/>
  <c r="M6" i="23"/>
  <c r="M8" i="23"/>
  <c r="G9" i="23"/>
  <c r="M9" i="23"/>
  <c r="M10" i="23"/>
  <c r="G11" i="23"/>
  <c r="M11" i="23"/>
  <c r="M13" i="23"/>
  <c r="M14" i="23"/>
  <c r="M15" i="23"/>
  <c r="M16" i="23"/>
  <c r="G18" i="23"/>
  <c r="M18" i="23"/>
  <c r="G19" i="23"/>
  <c r="M19" i="23"/>
  <c r="G20" i="23"/>
  <c r="M20" i="23"/>
  <c r="G21" i="23"/>
  <c r="M21" i="23"/>
  <c r="F4" i="23"/>
  <c r="L4" i="23"/>
  <c r="L5" i="23"/>
  <c r="F3" i="23"/>
  <c r="F6" i="23"/>
  <c r="L6" i="23"/>
  <c r="L8" i="23"/>
  <c r="F9" i="23"/>
  <c r="L9" i="23"/>
  <c r="L10" i="23"/>
  <c r="F11" i="23"/>
  <c r="L11" i="23"/>
  <c r="L13" i="23"/>
  <c r="L14" i="23"/>
  <c r="L15" i="23"/>
  <c r="L16" i="23"/>
  <c r="F18" i="23"/>
  <c r="L18" i="23"/>
  <c r="F19" i="23"/>
  <c r="L19" i="23"/>
  <c r="F20" i="23"/>
  <c r="L20" i="23"/>
  <c r="F21" i="23"/>
  <c r="L21" i="23"/>
  <c r="E4" i="23"/>
  <c r="K4" i="23"/>
  <c r="K5" i="23"/>
  <c r="E3" i="23"/>
  <c r="E6" i="23"/>
  <c r="K6" i="23"/>
  <c r="K8" i="23"/>
  <c r="E9" i="23"/>
  <c r="K9" i="23"/>
  <c r="K10" i="23"/>
  <c r="E11" i="23"/>
  <c r="K11" i="23"/>
  <c r="K13" i="23"/>
  <c r="K14" i="23"/>
  <c r="K15" i="23"/>
  <c r="K16" i="23"/>
  <c r="E18" i="23"/>
  <c r="K18" i="23"/>
  <c r="E19" i="23"/>
  <c r="K19" i="23"/>
  <c r="E20" i="23"/>
  <c r="K20" i="23"/>
  <c r="E21" i="23"/>
  <c r="K21" i="23"/>
  <c r="D4" i="23"/>
  <c r="J4" i="23"/>
  <c r="J5" i="23"/>
  <c r="D3" i="23"/>
  <c r="D6" i="23"/>
  <c r="J6" i="23"/>
  <c r="J8" i="23"/>
  <c r="D9" i="23"/>
  <c r="J9" i="23"/>
  <c r="J10" i="23"/>
  <c r="D11" i="23"/>
  <c r="J11" i="23"/>
  <c r="J13" i="23"/>
  <c r="J14" i="23"/>
  <c r="J15" i="23"/>
  <c r="J16" i="23"/>
  <c r="D18" i="23"/>
  <c r="J18" i="23"/>
  <c r="D19" i="23"/>
  <c r="J19" i="23"/>
  <c r="D20" i="23"/>
  <c r="J20" i="23"/>
  <c r="D21" i="23"/>
  <c r="J21" i="23"/>
  <c r="C4" i="23"/>
  <c r="I4" i="23"/>
  <c r="I5" i="23"/>
  <c r="C3" i="23"/>
  <c r="C6" i="23"/>
  <c r="I6" i="23"/>
  <c r="I8" i="23"/>
  <c r="C9" i="23"/>
  <c r="I9" i="23"/>
  <c r="I10" i="23"/>
  <c r="C11" i="23"/>
  <c r="I11" i="23"/>
  <c r="I13" i="23"/>
  <c r="I14" i="23"/>
  <c r="I15" i="23"/>
  <c r="I16" i="23"/>
  <c r="C18" i="23"/>
  <c r="I18" i="23"/>
  <c r="C19" i="23"/>
  <c r="I19" i="23"/>
  <c r="C20" i="23"/>
  <c r="I20" i="23"/>
  <c r="C21" i="23"/>
  <c r="I21" i="23"/>
  <c r="L3" i="23"/>
  <c r="K3" i="23"/>
  <c r="M3" i="23"/>
  <c r="J3" i="23"/>
  <c r="I3" i="23"/>
  <c r="F3" i="24"/>
  <c r="F18" i="24"/>
  <c r="F4" i="24"/>
  <c r="F9" i="24"/>
  <c r="F19" i="24"/>
  <c r="F5" i="24"/>
  <c r="F20" i="24"/>
  <c r="F21" i="24"/>
  <c r="L21" i="24"/>
  <c r="E3" i="24"/>
  <c r="E18" i="24"/>
  <c r="E4" i="24"/>
  <c r="E9" i="24"/>
  <c r="E19" i="24"/>
  <c r="E5" i="24"/>
  <c r="E20" i="24"/>
  <c r="E21" i="24"/>
  <c r="K21" i="24"/>
  <c r="D3" i="24"/>
  <c r="D18" i="24"/>
  <c r="D4" i="24"/>
  <c r="D9" i="24"/>
  <c r="D19" i="24"/>
  <c r="D5" i="24"/>
  <c r="D20" i="24"/>
  <c r="D21" i="24"/>
  <c r="J21" i="24"/>
  <c r="C3" i="24"/>
  <c r="C18" i="24"/>
  <c r="C4" i="24"/>
  <c r="C9" i="24"/>
  <c r="C19" i="24"/>
  <c r="C5" i="24"/>
  <c r="C20" i="24"/>
  <c r="C21" i="24"/>
  <c r="I21" i="24"/>
  <c r="M20" i="24"/>
  <c r="L20" i="24"/>
  <c r="K20" i="24"/>
  <c r="J20" i="24"/>
  <c r="I20" i="24"/>
  <c r="M19" i="24"/>
  <c r="L19" i="24"/>
  <c r="K19" i="24"/>
  <c r="J19" i="24"/>
  <c r="I19" i="24"/>
  <c r="M18" i="24"/>
  <c r="L18" i="24"/>
  <c r="K18" i="24"/>
  <c r="J18" i="24"/>
  <c r="I18" i="24"/>
  <c r="M16" i="24"/>
  <c r="L16" i="24"/>
  <c r="K16" i="24"/>
  <c r="J16" i="24"/>
  <c r="I16" i="24"/>
  <c r="M15" i="24"/>
  <c r="L15" i="24"/>
  <c r="K15" i="24"/>
  <c r="J15" i="24"/>
  <c r="I15" i="24"/>
  <c r="M14" i="24"/>
  <c r="L14" i="24"/>
  <c r="K14" i="24"/>
  <c r="J14" i="24"/>
  <c r="I14" i="24"/>
  <c r="M13" i="24"/>
  <c r="L13" i="24"/>
  <c r="K13" i="24"/>
  <c r="J13" i="24"/>
  <c r="I13" i="24"/>
  <c r="G11" i="24"/>
  <c r="M11" i="24"/>
  <c r="F11" i="24"/>
  <c r="L11" i="24"/>
  <c r="E11" i="24"/>
  <c r="K11" i="24"/>
  <c r="D11" i="24"/>
  <c r="J11" i="24"/>
  <c r="C11" i="24"/>
  <c r="I11" i="24"/>
  <c r="M10" i="24"/>
  <c r="L10" i="24"/>
  <c r="K10" i="24"/>
  <c r="J10" i="24"/>
  <c r="I10" i="24"/>
  <c r="M9" i="24"/>
  <c r="L9" i="24"/>
  <c r="K9" i="24"/>
  <c r="J9" i="24"/>
  <c r="I9" i="24"/>
  <c r="M8" i="24"/>
  <c r="L8" i="24"/>
  <c r="K8" i="24"/>
  <c r="J8" i="24"/>
  <c r="I8" i="24"/>
  <c r="G6" i="24"/>
  <c r="M6" i="24"/>
  <c r="F6" i="24"/>
  <c r="L6" i="24"/>
  <c r="E6" i="24"/>
  <c r="K6" i="24"/>
  <c r="D6" i="24"/>
  <c r="J6" i="24"/>
  <c r="C6" i="24"/>
  <c r="I6" i="24"/>
  <c r="M5" i="24"/>
  <c r="L5" i="24"/>
  <c r="K5" i="24"/>
  <c r="J5" i="24"/>
  <c r="I5" i="24"/>
  <c r="M4" i="24"/>
  <c r="L4" i="24"/>
  <c r="K4" i="24"/>
  <c r="J4" i="24"/>
  <c r="I4" i="24"/>
  <c r="M3" i="24"/>
  <c r="L3" i="24"/>
  <c r="K3" i="24"/>
  <c r="J3" i="24"/>
  <c r="I3" i="24"/>
  <c r="M4" i="25"/>
  <c r="M5" i="25"/>
  <c r="G6" i="25"/>
  <c r="M6" i="25"/>
  <c r="M8" i="25"/>
  <c r="M9" i="25"/>
  <c r="M10" i="25"/>
  <c r="G11" i="25"/>
  <c r="M11" i="25"/>
  <c r="M13" i="25"/>
  <c r="M14" i="25"/>
  <c r="M15" i="25"/>
  <c r="G16" i="25"/>
  <c r="M16" i="25"/>
  <c r="M18" i="25"/>
  <c r="M19" i="25"/>
  <c r="M20" i="25"/>
  <c r="D4" i="25"/>
  <c r="J4" i="25"/>
  <c r="J5" i="25"/>
  <c r="D6" i="25"/>
  <c r="J6" i="25"/>
  <c r="J8" i="25"/>
  <c r="D9" i="25"/>
  <c r="J9" i="25"/>
  <c r="J10" i="25"/>
  <c r="D11" i="25"/>
  <c r="J11" i="25"/>
  <c r="J13" i="25"/>
  <c r="D14" i="25"/>
  <c r="J14" i="25"/>
  <c r="J15" i="25"/>
  <c r="D16" i="25"/>
  <c r="J16" i="25"/>
  <c r="D18" i="25"/>
  <c r="J18" i="25"/>
  <c r="D19" i="25"/>
  <c r="J19" i="25"/>
  <c r="D20" i="25"/>
  <c r="J20" i="25"/>
  <c r="D21" i="25"/>
  <c r="J21" i="25"/>
  <c r="J3" i="25"/>
  <c r="F4" i="25"/>
  <c r="L4" i="25"/>
  <c r="L5" i="25"/>
  <c r="F6" i="25"/>
  <c r="L6" i="25"/>
  <c r="L8" i="25"/>
  <c r="F9" i="25"/>
  <c r="L9" i="25"/>
  <c r="L10" i="25"/>
  <c r="F11" i="25"/>
  <c r="L11" i="25"/>
  <c r="L13" i="25"/>
  <c r="F14" i="25"/>
  <c r="L14" i="25"/>
  <c r="L15" i="25"/>
  <c r="F16" i="25"/>
  <c r="L16" i="25"/>
  <c r="F18" i="25"/>
  <c r="L18" i="25"/>
  <c r="F19" i="25"/>
  <c r="L19" i="25"/>
  <c r="F20" i="25"/>
  <c r="L20" i="25"/>
  <c r="F21" i="25"/>
  <c r="L21" i="25"/>
  <c r="E4" i="25"/>
  <c r="K4" i="25"/>
  <c r="K5" i="25"/>
  <c r="E6" i="25"/>
  <c r="K6" i="25"/>
  <c r="K8" i="25"/>
  <c r="E9" i="25"/>
  <c r="K9" i="25"/>
  <c r="K10" i="25"/>
  <c r="E11" i="25"/>
  <c r="K11" i="25"/>
  <c r="K13" i="25"/>
  <c r="E14" i="25"/>
  <c r="K14" i="25"/>
  <c r="K15" i="25"/>
  <c r="E16" i="25"/>
  <c r="K16" i="25"/>
  <c r="E18" i="25"/>
  <c r="K18" i="25"/>
  <c r="E19" i="25"/>
  <c r="K19" i="25"/>
  <c r="E20" i="25"/>
  <c r="K20" i="25"/>
  <c r="E21" i="25"/>
  <c r="K21" i="25"/>
  <c r="C4" i="25"/>
  <c r="I4" i="25"/>
  <c r="I5" i="25"/>
  <c r="C6" i="25"/>
  <c r="I6" i="25"/>
  <c r="I8" i="25"/>
  <c r="C9" i="25"/>
  <c r="I9" i="25"/>
  <c r="I10" i="25"/>
  <c r="C11" i="25"/>
  <c r="I11" i="25"/>
  <c r="I13" i="25"/>
  <c r="C14" i="25"/>
  <c r="I14" i="25"/>
  <c r="I15" i="25"/>
  <c r="C16" i="25"/>
  <c r="I16" i="25"/>
  <c r="C18" i="25"/>
  <c r="I18" i="25"/>
  <c r="C19" i="25"/>
  <c r="I19" i="25"/>
  <c r="C20" i="25"/>
  <c r="I20" i="25"/>
  <c r="C21" i="25"/>
  <c r="I21" i="25"/>
  <c r="I3" i="25"/>
  <c r="K3" i="25"/>
  <c r="L3" i="25"/>
  <c r="M3" i="25"/>
  <c r="M6" i="5"/>
  <c r="F46" i="5"/>
  <c r="F83" i="5"/>
  <c r="F48" i="5"/>
  <c r="F85" i="5"/>
  <c r="F53" i="5"/>
  <c r="F90" i="5"/>
  <c r="F54" i="5"/>
  <c r="F91" i="5"/>
  <c r="F59" i="5"/>
  <c r="F96" i="5"/>
  <c r="F60" i="5"/>
  <c r="F97" i="5"/>
  <c r="F72" i="5"/>
  <c r="F109" i="5"/>
  <c r="M19" i="27"/>
  <c r="F76" i="5"/>
  <c r="F113" i="5"/>
  <c r="F77" i="5"/>
  <c r="F114" i="5"/>
  <c r="I83" i="5"/>
  <c r="F47" i="5"/>
  <c r="F84" i="5"/>
  <c r="F93" i="5"/>
  <c r="F57" i="5"/>
  <c r="F94" i="5"/>
  <c r="F66" i="5"/>
  <c r="F103" i="5"/>
  <c r="F67" i="5"/>
  <c r="F104" i="5"/>
  <c r="F68" i="5"/>
  <c r="F105" i="5"/>
  <c r="F73" i="5"/>
  <c r="F110" i="5"/>
  <c r="I84" i="5"/>
  <c r="B7" i="5"/>
  <c r="B47" i="5"/>
  <c r="B84" i="5"/>
  <c r="C7" i="5"/>
  <c r="C47" i="5"/>
  <c r="C84" i="5"/>
  <c r="D7" i="5"/>
  <c r="D47" i="5"/>
  <c r="D84" i="5"/>
  <c r="E7" i="5"/>
  <c r="E47" i="5"/>
  <c r="E84" i="5"/>
  <c r="B8" i="5"/>
  <c r="B48" i="5"/>
  <c r="B85" i="5"/>
  <c r="C8" i="5"/>
  <c r="C48" i="5"/>
  <c r="C85" i="5"/>
  <c r="D8" i="5"/>
  <c r="D48" i="5"/>
  <c r="D85" i="5"/>
  <c r="E8" i="5"/>
  <c r="E48" i="5"/>
  <c r="E85" i="5"/>
  <c r="B86" i="5"/>
  <c r="C86" i="5"/>
  <c r="D86" i="5"/>
  <c r="E86" i="5"/>
  <c r="F86" i="5"/>
  <c r="B87" i="5"/>
  <c r="C87" i="5"/>
  <c r="D87" i="5"/>
  <c r="E87" i="5"/>
  <c r="F87" i="5"/>
  <c r="B88" i="5"/>
  <c r="C88" i="5"/>
  <c r="D88" i="5"/>
  <c r="E88" i="5"/>
  <c r="F88" i="5"/>
  <c r="B89" i="5"/>
  <c r="C89" i="5"/>
  <c r="D89" i="5"/>
  <c r="E89" i="5"/>
  <c r="F89" i="5"/>
  <c r="B13" i="5"/>
  <c r="B53" i="5"/>
  <c r="B90" i="5"/>
  <c r="C13" i="5"/>
  <c r="C53" i="5"/>
  <c r="C90" i="5"/>
  <c r="D13" i="5"/>
  <c r="D53" i="5"/>
  <c r="D90" i="5"/>
  <c r="E13" i="5"/>
  <c r="E53" i="5"/>
  <c r="E90" i="5"/>
  <c r="B14" i="5"/>
  <c r="B54" i="5"/>
  <c r="B91" i="5"/>
  <c r="C14" i="5"/>
  <c r="C54" i="5"/>
  <c r="C91" i="5"/>
  <c r="D14" i="5"/>
  <c r="D54" i="5"/>
  <c r="D91" i="5"/>
  <c r="E14" i="5"/>
  <c r="E54" i="5"/>
  <c r="E91" i="5"/>
  <c r="B15" i="5"/>
  <c r="B55" i="5"/>
  <c r="B92" i="5"/>
  <c r="C15" i="5"/>
  <c r="C55" i="5"/>
  <c r="C92" i="5"/>
  <c r="D15" i="5"/>
  <c r="D55" i="5"/>
  <c r="D92" i="5"/>
  <c r="E15" i="5"/>
  <c r="E55" i="5"/>
  <c r="E92" i="5"/>
  <c r="F15" i="5"/>
  <c r="F55" i="5"/>
  <c r="F92" i="5"/>
  <c r="B93" i="5"/>
  <c r="C93" i="5"/>
  <c r="D93" i="5"/>
  <c r="E93" i="5"/>
  <c r="B17" i="5"/>
  <c r="B57" i="5"/>
  <c r="B94" i="5"/>
  <c r="C17" i="5"/>
  <c r="C57" i="5"/>
  <c r="C94" i="5"/>
  <c r="D17" i="5"/>
  <c r="D57" i="5"/>
  <c r="D94" i="5"/>
  <c r="E57" i="5"/>
  <c r="E94" i="5"/>
  <c r="B18" i="5"/>
  <c r="B58" i="5"/>
  <c r="B95" i="5"/>
  <c r="C18" i="5"/>
  <c r="C58" i="5"/>
  <c r="C95" i="5"/>
  <c r="D18" i="5"/>
  <c r="D58" i="5"/>
  <c r="D95" i="5"/>
  <c r="E18" i="5"/>
  <c r="E58" i="5"/>
  <c r="E95" i="5"/>
  <c r="F58" i="5"/>
  <c r="F95" i="5"/>
  <c r="B19" i="5"/>
  <c r="B59" i="5"/>
  <c r="B96" i="5"/>
  <c r="C19" i="5"/>
  <c r="C59" i="5"/>
  <c r="C96" i="5"/>
  <c r="D19" i="5"/>
  <c r="D59" i="5"/>
  <c r="D96" i="5"/>
  <c r="E19" i="5"/>
  <c r="E59" i="5"/>
  <c r="E96" i="5"/>
  <c r="B20" i="5"/>
  <c r="B60" i="5"/>
  <c r="B97" i="5"/>
  <c r="C20" i="5"/>
  <c r="C60" i="5"/>
  <c r="C97" i="5"/>
  <c r="D20" i="5"/>
  <c r="D60" i="5"/>
  <c r="D97" i="5"/>
  <c r="E20" i="5"/>
  <c r="E60" i="5"/>
  <c r="E97" i="5"/>
  <c r="B21" i="5"/>
  <c r="B61" i="5"/>
  <c r="B98" i="5"/>
  <c r="C21" i="5"/>
  <c r="C61" i="5"/>
  <c r="C98" i="5"/>
  <c r="D21" i="5"/>
  <c r="D61" i="5"/>
  <c r="D98" i="5"/>
  <c r="E21" i="5"/>
  <c r="E61" i="5"/>
  <c r="E98" i="5"/>
  <c r="F21" i="5"/>
  <c r="F61" i="5"/>
  <c r="F98" i="5"/>
  <c r="B99" i="5"/>
  <c r="C99" i="5"/>
  <c r="D99" i="5"/>
  <c r="E99" i="5"/>
  <c r="F99" i="5"/>
  <c r="B100" i="5"/>
  <c r="C100" i="5"/>
  <c r="D100" i="5"/>
  <c r="E100" i="5"/>
  <c r="F100" i="5"/>
  <c r="B101" i="5"/>
  <c r="C101" i="5"/>
  <c r="D101" i="5"/>
  <c r="E101" i="5"/>
  <c r="F101" i="5"/>
  <c r="B25" i="5"/>
  <c r="B65" i="5"/>
  <c r="B102" i="5"/>
  <c r="C25" i="5"/>
  <c r="C65" i="5"/>
  <c r="C102" i="5"/>
  <c r="D25" i="5"/>
  <c r="D65" i="5"/>
  <c r="D102" i="5"/>
  <c r="E25" i="5"/>
  <c r="E65" i="5"/>
  <c r="E102" i="5"/>
  <c r="F25" i="5"/>
  <c r="F65" i="5"/>
  <c r="F102" i="5"/>
  <c r="B26" i="5"/>
  <c r="B66" i="5"/>
  <c r="B103" i="5"/>
  <c r="C26" i="5"/>
  <c r="C66" i="5"/>
  <c r="C103" i="5"/>
  <c r="D26" i="5"/>
  <c r="D66" i="5"/>
  <c r="D103" i="5"/>
  <c r="E26" i="5"/>
  <c r="E66" i="5"/>
  <c r="E103" i="5"/>
  <c r="B27" i="5"/>
  <c r="B67" i="5"/>
  <c r="B104" i="5"/>
  <c r="C27" i="5"/>
  <c r="C67" i="5"/>
  <c r="C104" i="5"/>
  <c r="D27" i="5"/>
  <c r="D67" i="5"/>
  <c r="D104" i="5"/>
  <c r="E27" i="5"/>
  <c r="E67" i="5"/>
  <c r="E104" i="5"/>
  <c r="B28" i="5"/>
  <c r="B68" i="5"/>
  <c r="B105" i="5"/>
  <c r="C28" i="5"/>
  <c r="C68" i="5"/>
  <c r="C105" i="5"/>
  <c r="D28" i="5"/>
  <c r="D68" i="5"/>
  <c r="D105" i="5"/>
  <c r="E28" i="5"/>
  <c r="E68" i="5"/>
  <c r="E105" i="5"/>
  <c r="B29" i="5"/>
  <c r="B69" i="5"/>
  <c r="B106" i="5"/>
  <c r="C29" i="5"/>
  <c r="C69" i="5"/>
  <c r="C106" i="5"/>
  <c r="D29" i="5"/>
  <c r="D69" i="5"/>
  <c r="D106" i="5"/>
  <c r="E29" i="5"/>
  <c r="E69" i="5"/>
  <c r="E106" i="5"/>
  <c r="F29" i="5"/>
  <c r="F69" i="5"/>
  <c r="F106" i="5"/>
  <c r="B107" i="5"/>
  <c r="C107" i="5"/>
  <c r="D107" i="5"/>
  <c r="E107" i="5"/>
  <c r="F107" i="5"/>
  <c r="B108" i="5"/>
  <c r="C108" i="5"/>
  <c r="D108" i="5"/>
  <c r="E108" i="5"/>
  <c r="F108" i="5"/>
  <c r="B32" i="5"/>
  <c r="B72" i="5"/>
  <c r="B109" i="5"/>
  <c r="C32" i="5"/>
  <c r="C72" i="5"/>
  <c r="C109" i="5"/>
  <c r="D32" i="5"/>
  <c r="D72" i="5"/>
  <c r="D109" i="5"/>
  <c r="E32" i="5"/>
  <c r="E72" i="5"/>
  <c r="E109" i="5"/>
  <c r="B33" i="5"/>
  <c r="B73" i="5"/>
  <c r="B110" i="5"/>
  <c r="C33" i="5"/>
  <c r="C73" i="5"/>
  <c r="C110" i="5"/>
  <c r="D33" i="5"/>
  <c r="D73" i="5"/>
  <c r="D110" i="5"/>
  <c r="E33" i="5"/>
  <c r="E73" i="5"/>
  <c r="E110" i="5"/>
  <c r="B111" i="5"/>
  <c r="C111" i="5"/>
  <c r="D111" i="5"/>
  <c r="E111" i="5"/>
  <c r="F111" i="5"/>
  <c r="C3" i="26"/>
  <c r="C8" i="26"/>
  <c r="C13" i="26"/>
  <c r="C18" i="26"/>
  <c r="C4" i="26"/>
  <c r="C9" i="26"/>
  <c r="C19" i="26"/>
  <c r="C20" i="26"/>
  <c r="C21" i="26"/>
  <c r="I21" i="26"/>
  <c r="B35" i="5"/>
  <c r="I19" i="26"/>
  <c r="B75" i="5"/>
  <c r="B112" i="5"/>
  <c r="D3" i="26"/>
  <c r="D8" i="26"/>
  <c r="D13" i="26"/>
  <c r="D18" i="26"/>
  <c r="D4" i="26"/>
  <c r="D9" i="26"/>
  <c r="D19" i="26"/>
  <c r="D20" i="26"/>
  <c r="D21" i="26"/>
  <c r="J21" i="26"/>
  <c r="C35" i="5"/>
  <c r="J19" i="26"/>
  <c r="C75" i="5"/>
  <c r="C112" i="5"/>
  <c r="E3" i="26"/>
  <c r="E8" i="26"/>
  <c r="E13" i="26"/>
  <c r="E18" i="26"/>
  <c r="E4" i="26"/>
  <c r="E9" i="26"/>
  <c r="E19" i="26"/>
  <c r="E20" i="26"/>
  <c r="E21" i="26"/>
  <c r="K21" i="26"/>
  <c r="D35" i="5"/>
  <c r="K19" i="26"/>
  <c r="D75" i="5"/>
  <c r="D112" i="5"/>
  <c r="F3" i="26"/>
  <c r="F8" i="26"/>
  <c r="F13" i="26"/>
  <c r="F18" i="26"/>
  <c r="F4" i="26"/>
  <c r="F9" i="26"/>
  <c r="F19" i="26"/>
  <c r="F20" i="26"/>
  <c r="F21" i="26"/>
  <c r="L21" i="26"/>
  <c r="E35" i="5"/>
  <c r="L19" i="26"/>
  <c r="E75" i="5"/>
  <c r="E112" i="5"/>
  <c r="G3" i="26"/>
  <c r="G8" i="26"/>
  <c r="G13" i="26"/>
  <c r="G18" i="26"/>
  <c r="G4" i="26"/>
  <c r="G9" i="26"/>
  <c r="G19" i="26"/>
  <c r="G20" i="26"/>
  <c r="G21" i="26"/>
  <c r="M21" i="26"/>
  <c r="F35" i="5"/>
  <c r="M19" i="26"/>
  <c r="F75" i="5"/>
  <c r="F112" i="5"/>
  <c r="C3" i="27"/>
  <c r="C8" i="27"/>
  <c r="C13" i="27"/>
  <c r="C18" i="27"/>
  <c r="C4" i="27"/>
  <c r="C9" i="27"/>
  <c r="C14" i="27"/>
  <c r="C19" i="27"/>
  <c r="C5" i="27"/>
  <c r="C20" i="27"/>
  <c r="C21" i="27"/>
  <c r="I21" i="27"/>
  <c r="B36" i="5"/>
  <c r="I19" i="27"/>
  <c r="B76" i="5"/>
  <c r="B113" i="5"/>
  <c r="D3" i="27"/>
  <c r="D8" i="27"/>
  <c r="D13" i="27"/>
  <c r="D18" i="27"/>
  <c r="D4" i="27"/>
  <c r="D9" i="27"/>
  <c r="D14" i="27"/>
  <c r="D19" i="27"/>
  <c r="D5" i="27"/>
  <c r="D20" i="27"/>
  <c r="D21" i="27"/>
  <c r="J21" i="27"/>
  <c r="C36" i="5"/>
  <c r="J19" i="27"/>
  <c r="C76" i="5"/>
  <c r="C113" i="5"/>
  <c r="E3" i="27"/>
  <c r="E8" i="27"/>
  <c r="E13" i="27"/>
  <c r="E18" i="27"/>
  <c r="E4" i="27"/>
  <c r="E9" i="27"/>
  <c r="E14" i="27"/>
  <c r="E19" i="27"/>
  <c r="E5" i="27"/>
  <c r="E20" i="27"/>
  <c r="E21" i="27"/>
  <c r="K21" i="27"/>
  <c r="D36" i="5"/>
  <c r="K19" i="27"/>
  <c r="D76" i="5"/>
  <c r="D113" i="5"/>
  <c r="F3" i="27"/>
  <c r="F8" i="27"/>
  <c r="F13" i="27"/>
  <c r="F18" i="27"/>
  <c r="F4" i="27"/>
  <c r="F9" i="27"/>
  <c r="F14" i="27"/>
  <c r="F19" i="27"/>
  <c r="F5" i="27"/>
  <c r="F20" i="27"/>
  <c r="F21" i="27"/>
  <c r="L21" i="27"/>
  <c r="E36" i="5"/>
  <c r="L19" i="27"/>
  <c r="E76" i="5"/>
  <c r="E113" i="5"/>
  <c r="C3" i="1"/>
  <c r="C8" i="1"/>
  <c r="C13" i="1"/>
  <c r="C18" i="1"/>
  <c r="C4" i="1"/>
  <c r="C9" i="1"/>
  <c r="C14" i="1"/>
  <c r="C19" i="1"/>
  <c r="C5" i="1"/>
  <c r="C10" i="1"/>
  <c r="C15" i="1"/>
  <c r="C20" i="1"/>
  <c r="C21" i="1"/>
  <c r="B37" i="5"/>
  <c r="B77" i="5"/>
  <c r="B114" i="5"/>
  <c r="D3" i="1"/>
  <c r="D8" i="1"/>
  <c r="D13" i="1"/>
  <c r="D18" i="1"/>
  <c r="D4" i="1"/>
  <c r="D9" i="1"/>
  <c r="D14" i="1"/>
  <c r="D19" i="1"/>
  <c r="D5" i="1"/>
  <c r="D10" i="1"/>
  <c r="D15" i="1"/>
  <c r="D20" i="1"/>
  <c r="D21" i="1"/>
  <c r="C37" i="5"/>
  <c r="C77" i="5"/>
  <c r="C114" i="5"/>
  <c r="E3" i="1"/>
  <c r="E8" i="1"/>
  <c r="E13" i="1"/>
  <c r="E18" i="1"/>
  <c r="E4" i="1"/>
  <c r="E9" i="1"/>
  <c r="E14" i="1"/>
  <c r="E19" i="1"/>
  <c r="E5" i="1"/>
  <c r="E10" i="1"/>
  <c r="E15" i="1"/>
  <c r="E20" i="1"/>
  <c r="E21" i="1"/>
  <c r="D37" i="5"/>
  <c r="D77" i="5"/>
  <c r="D114" i="5"/>
  <c r="F3" i="1"/>
  <c r="F8" i="1"/>
  <c r="F13" i="1"/>
  <c r="F18" i="1"/>
  <c r="F4" i="1"/>
  <c r="F9" i="1"/>
  <c r="F14" i="1"/>
  <c r="F19" i="1"/>
  <c r="F5" i="1"/>
  <c r="F10" i="1"/>
  <c r="F15" i="1"/>
  <c r="F20" i="1"/>
  <c r="F21" i="1"/>
  <c r="E37" i="5"/>
  <c r="E77" i="5"/>
  <c r="E114" i="5"/>
  <c r="B115" i="5"/>
  <c r="C115" i="5"/>
  <c r="D115" i="5"/>
  <c r="E115" i="5"/>
  <c r="F115" i="5"/>
  <c r="B6" i="5"/>
  <c r="B39" i="5"/>
  <c r="B46" i="5"/>
  <c r="B79" i="5"/>
  <c r="B116" i="5"/>
  <c r="C6" i="5"/>
  <c r="C39" i="5"/>
  <c r="C46" i="5"/>
  <c r="C79" i="5"/>
  <c r="C116" i="5"/>
  <c r="D6" i="5"/>
  <c r="D39" i="5"/>
  <c r="D46" i="5"/>
  <c r="D79" i="5"/>
  <c r="D116" i="5"/>
  <c r="E6" i="5"/>
  <c r="E39" i="5"/>
  <c r="E46" i="5"/>
  <c r="E79" i="5"/>
  <c r="E116" i="5"/>
  <c r="F39" i="5"/>
  <c r="F79" i="5"/>
  <c r="F116" i="5"/>
  <c r="C83" i="5"/>
  <c r="D83" i="5"/>
  <c r="E83" i="5"/>
  <c r="B83" i="5"/>
  <c r="I39" i="5"/>
  <c r="J9" i="5"/>
  <c r="J10" i="5"/>
  <c r="J11" i="5"/>
  <c r="J12" i="5"/>
  <c r="J15" i="5"/>
  <c r="J18" i="5"/>
  <c r="J21" i="5"/>
  <c r="J22" i="5"/>
  <c r="J23" i="5"/>
  <c r="J24" i="5"/>
  <c r="J25" i="5"/>
  <c r="J29" i="5"/>
  <c r="J30" i="5"/>
  <c r="J31" i="5"/>
  <c r="J34" i="5"/>
  <c r="J35" i="5"/>
  <c r="J38" i="5"/>
  <c r="J39" i="5"/>
  <c r="M4" i="26"/>
  <c r="M5" i="26"/>
  <c r="G6" i="26"/>
  <c r="M6" i="26"/>
  <c r="M8" i="26"/>
  <c r="M9" i="26"/>
  <c r="M10" i="26"/>
  <c r="G11" i="26"/>
  <c r="M11" i="26"/>
  <c r="M13" i="26"/>
  <c r="M14" i="26"/>
  <c r="M15" i="26"/>
  <c r="G16" i="26"/>
  <c r="M16" i="26"/>
  <c r="M18" i="26"/>
  <c r="M20" i="26"/>
  <c r="L4" i="26"/>
  <c r="L5" i="26"/>
  <c r="F6" i="26"/>
  <c r="L6" i="26"/>
  <c r="L8" i="26"/>
  <c r="L9" i="26"/>
  <c r="L10" i="26"/>
  <c r="F11" i="26"/>
  <c r="L11" i="26"/>
  <c r="L13" i="26"/>
  <c r="L14" i="26"/>
  <c r="L15" i="26"/>
  <c r="F16" i="26"/>
  <c r="L16" i="26"/>
  <c r="L18" i="26"/>
  <c r="L20" i="26"/>
  <c r="K4" i="26"/>
  <c r="K5" i="26"/>
  <c r="E6" i="26"/>
  <c r="K6" i="26"/>
  <c r="K8" i="26"/>
  <c r="K9" i="26"/>
  <c r="K10" i="26"/>
  <c r="E11" i="26"/>
  <c r="K11" i="26"/>
  <c r="K13" i="26"/>
  <c r="K14" i="26"/>
  <c r="K15" i="26"/>
  <c r="E16" i="26"/>
  <c r="K16" i="26"/>
  <c r="K18" i="26"/>
  <c r="K20" i="26"/>
  <c r="J4" i="26"/>
  <c r="J5" i="26"/>
  <c r="D6" i="26"/>
  <c r="J6" i="26"/>
  <c r="J8" i="26"/>
  <c r="J9" i="26"/>
  <c r="J10" i="26"/>
  <c r="D11" i="26"/>
  <c r="J11" i="26"/>
  <c r="J13" i="26"/>
  <c r="J14" i="26"/>
  <c r="J15" i="26"/>
  <c r="D16" i="26"/>
  <c r="J16" i="26"/>
  <c r="J18" i="26"/>
  <c r="J20" i="26"/>
  <c r="I4" i="26"/>
  <c r="I5" i="26"/>
  <c r="C6" i="26"/>
  <c r="I6" i="26"/>
  <c r="I8" i="26"/>
  <c r="I9" i="26"/>
  <c r="I10" i="26"/>
  <c r="C11" i="26"/>
  <c r="I11" i="26"/>
  <c r="I13" i="26"/>
  <c r="I14" i="26"/>
  <c r="I15" i="26"/>
  <c r="C16" i="26"/>
  <c r="I16" i="26"/>
  <c r="I18" i="26"/>
  <c r="I20" i="26"/>
  <c r="I3" i="26"/>
  <c r="J3" i="26"/>
  <c r="M3" i="26"/>
  <c r="L3" i="26"/>
  <c r="K3" i="26"/>
  <c r="M4" i="27"/>
  <c r="M5" i="27"/>
  <c r="G6" i="27"/>
  <c r="M6" i="27"/>
  <c r="M8" i="27"/>
  <c r="M9" i="27"/>
  <c r="M10" i="27"/>
  <c r="G11" i="27"/>
  <c r="M11" i="27"/>
  <c r="M13" i="27"/>
  <c r="M14" i="27"/>
  <c r="M15" i="27"/>
  <c r="G16" i="27"/>
  <c r="M16" i="27"/>
  <c r="M18" i="27"/>
  <c r="M20" i="27"/>
  <c r="L4" i="27"/>
  <c r="L5" i="27"/>
  <c r="F6" i="27"/>
  <c r="L6" i="27"/>
  <c r="L8" i="27"/>
  <c r="L9" i="27"/>
  <c r="L10" i="27"/>
  <c r="F11" i="27"/>
  <c r="L11" i="27"/>
  <c r="L13" i="27"/>
  <c r="L14" i="27"/>
  <c r="L15" i="27"/>
  <c r="F16" i="27"/>
  <c r="L16" i="27"/>
  <c r="L18" i="27"/>
  <c r="L20" i="27"/>
  <c r="L3" i="27"/>
  <c r="K4" i="27"/>
  <c r="K5" i="27"/>
  <c r="E6" i="27"/>
  <c r="K6" i="27"/>
  <c r="K8" i="27"/>
  <c r="K9" i="27"/>
  <c r="K10" i="27"/>
  <c r="E11" i="27"/>
  <c r="K11" i="27"/>
  <c r="K13" i="27"/>
  <c r="K14" i="27"/>
  <c r="K15" i="27"/>
  <c r="E16" i="27"/>
  <c r="K16" i="27"/>
  <c r="K18" i="27"/>
  <c r="K20" i="27"/>
  <c r="K3" i="27"/>
  <c r="M3" i="27"/>
  <c r="J4" i="27"/>
  <c r="J5" i="27"/>
  <c r="D6" i="27"/>
  <c r="J6" i="27"/>
  <c r="J8" i="27"/>
  <c r="J9" i="27"/>
  <c r="J10" i="27"/>
  <c r="D11" i="27"/>
  <c r="J11" i="27"/>
  <c r="J13" i="27"/>
  <c r="J14" i="27"/>
  <c r="J15" i="27"/>
  <c r="D16" i="27"/>
  <c r="J16" i="27"/>
  <c r="J18" i="27"/>
  <c r="J20" i="27"/>
  <c r="J3" i="27"/>
  <c r="I4" i="27"/>
  <c r="I5" i="27"/>
  <c r="C6" i="27"/>
  <c r="I6" i="27"/>
  <c r="I8" i="27"/>
  <c r="I9" i="27"/>
  <c r="I10" i="27"/>
  <c r="C11" i="27"/>
  <c r="I11" i="27"/>
  <c r="I13" i="27"/>
  <c r="I14" i="27"/>
  <c r="I15" i="27"/>
  <c r="C16" i="27"/>
  <c r="I16" i="27"/>
  <c r="I18" i="27"/>
  <c r="I20" i="27"/>
  <c r="I3" i="27"/>
</calcChain>
</file>

<file path=xl/sharedStrings.xml><?xml version="1.0" encoding="utf-8"?>
<sst xmlns="http://schemas.openxmlformats.org/spreadsheetml/2006/main" count="2151" uniqueCount="588">
  <si>
    <t xml:space="preserve">Table 22.1. Summary of fossil-fuel support to coal – Sweden (Millions of Swedish kronor, nominal) </t>
    <phoneticPr fontId="8" type="noConversion"/>
  </si>
  <si>
    <t xml:space="preserve">Reduced Energy Tax Rate for Diesel used in Transport </t>
  </si>
  <si>
    <t>Country</t>
    <phoneticPr fontId="8" type="noConversion"/>
  </si>
  <si>
    <t xml:space="preserve">Australia </t>
  </si>
  <si>
    <t xml:space="preserve">Hungary </t>
  </si>
  <si>
    <t xml:space="preserve">Korea </t>
  </si>
  <si>
    <t>Poland</t>
  </si>
  <si>
    <t>Belgium:</t>
  </si>
  <si>
    <t xml:space="preserve">Iceland </t>
  </si>
  <si>
    <t xml:space="preserve">Luxembourg </t>
  </si>
  <si>
    <t>Spain</t>
  </si>
  <si>
    <t>Canada:</t>
  </si>
  <si>
    <t xml:space="preserve">Ireland </t>
  </si>
  <si>
    <t xml:space="preserve">Mexico </t>
  </si>
  <si>
    <t>Sweden</t>
  </si>
  <si>
    <t xml:space="preserve">Chile </t>
  </si>
  <si>
    <t xml:space="preserve">Israel </t>
  </si>
  <si>
    <t xml:space="preserve">Netherlands </t>
  </si>
  <si>
    <t>Turkey</t>
  </si>
  <si>
    <t>France:</t>
  </si>
  <si>
    <t xml:space="preserve">Italy </t>
  </si>
  <si>
    <t xml:space="preserve">New Zealand </t>
  </si>
  <si>
    <t>United Kingdom</t>
  </si>
  <si>
    <t xml:space="preserve">Germany </t>
  </si>
  <si>
    <t xml:space="preserve">Japan </t>
  </si>
  <si>
    <t xml:space="preserve">Norway </t>
  </si>
  <si>
    <t>United States</t>
  </si>
  <si>
    <t>y2008</t>
    <phoneticPr fontId="8" type="noConversion"/>
  </si>
  <si>
    <t>y2009</t>
    <phoneticPr fontId="8" type="noConversion"/>
  </si>
  <si>
    <t>Consumption Subsidies</t>
    <phoneticPr fontId="8" type="noConversion"/>
  </si>
  <si>
    <r>
      <t>CO</t>
    </r>
    <r>
      <rPr>
        <sz val="6"/>
        <color indexed="8"/>
        <rFont val="Arial"/>
      </rPr>
      <t xml:space="preserve">2 </t>
    </r>
    <r>
      <rPr>
        <sz val="9"/>
        <color indexed="8"/>
        <rFont val="Arial"/>
        <family val="2"/>
      </rPr>
      <t xml:space="preserve">Tax Exemption for Diesel-Powered Trains </t>
    </r>
  </si>
  <si>
    <t xml:space="preserve">CO2 Tax Exemption for Domestic Commercial Aviation </t>
  </si>
  <si>
    <t xml:space="preserve">CO2 Tax Exemption for Domestic Shipping </t>
  </si>
  <si>
    <t xml:space="preserve">Support element </t>
    <phoneticPr fontId="8" type="noConversion"/>
  </si>
  <si>
    <t xml:space="preserve">Table 22.2. Summary of fossil-fuel support to petroleum – Sweden (Millions of Swedish kronor, nominal) </t>
    <phoneticPr fontId="8" type="noConversion"/>
  </si>
  <si>
    <t xml:space="preserve">Energy Tax Exemption for Natural Gas and LPG used in Transport </t>
  </si>
  <si>
    <t>Production&amp;General Subsidies</t>
    <phoneticPr fontId="8" type="noConversion"/>
  </si>
  <si>
    <t>TOTAL</t>
    <phoneticPr fontId="8" type="noConversion"/>
  </si>
  <si>
    <t>in AGF report</t>
    <phoneticPr fontId="8" type="noConversion"/>
  </si>
  <si>
    <t>Annex 2</t>
    <phoneticPr fontId="8" type="noConversion"/>
  </si>
  <si>
    <t>AGF report</t>
    <phoneticPr fontId="8" type="noConversion"/>
  </si>
  <si>
    <t xml:space="preserve">Table 24.1. Summary of fossil-fuel support to coal – United Kingdom (Millions of British pounds sterling, nominal) </t>
    <phoneticPr fontId="8" type="noConversion"/>
  </si>
  <si>
    <t xml:space="preserve">PRT Tariff Receipts Allowance </t>
  </si>
  <si>
    <t xml:space="preserve">PRT Oil Allowance </t>
  </si>
  <si>
    <t xml:space="preserve">PRT Safeguard </t>
  </si>
  <si>
    <t xml:space="preserve">PRT Uplift for Certain Capital Expenditures </t>
  </si>
  <si>
    <t xml:space="preserve">Table 24.2. Summary of fossil-fuel support to petroleum – United Kingdom (Millions of British pounds sterling, nominal) </t>
    <phoneticPr fontId="8" type="noConversion"/>
  </si>
  <si>
    <t xml:space="preserve">PRT Exemption for Sales to British Gas </t>
  </si>
  <si>
    <t xml:space="preserve">Table 24.3. Summary of fossil-fuel support to natural gas – United Kingdom (Millions of British pounds sterling, nominal) </t>
    <phoneticPr fontId="8" type="noConversion"/>
  </si>
  <si>
    <t xml:space="preserve">Table 22.3. Summary of fossil-fuel support to natural gas – Sweden (Millions of Swedish kronor, nominal) </t>
    <phoneticPr fontId="8" type="noConversion"/>
  </si>
  <si>
    <t xml:space="preserve">Aid to the Hard Coal Industry1 </t>
  </si>
  <si>
    <t xml:space="preserve">Petroleum R&amp;D Funding </t>
  </si>
  <si>
    <t xml:space="preserve">NPD Seismic Investigations </t>
  </si>
  <si>
    <t xml:space="preserve">Table 19.2. Summary of fossil-fuel support to petroleum – Norway (Millions of Norwegian kroner, nominal) </t>
    <phoneticPr fontId="8" type="noConversion"/>
  </si>
  <si>
    <t>Table 19.3. Summary of fossil-fuel support to natural gas – Norway (Millions of Norwegian kroner, nominal)</t>
    <phoneticPr fontId="8" type="noConversion"/>
  </si>
  <si>
    <t xml:space="preserve">Exemption or Deferral of Taxes and Fines </t>
  </si>
  <si>
    <t>TOTAL</t>
    <phoneticPr fontId="8" type="noConversion"/>
  </si>
  <si>
    <t xml:space="preserve">Aid for Coal to Poor Families </t>
  </si>
  <si>
    <t xml:space="preserve">Support element </t>
    <phoneticPr fontId="8" type="noConversion"/>
  </si>
  <si>
    <t xml:space="preserve">Tax Exemption for Oil and Gas Exploration and Transportation </t>
  </si>
  <si>
    <t xml:space="preserve">Tax Exemption for the Transportation and Distribution of Oil and Gas </t>
  </si>
  <si>
    <t xml:space="preserve">Tax Exemption for Public Transportation </t>
  </si>
  <si>
    <t xml:space="preserve">Rebate for Diesel used in Agriculture </t>
  </si>
  <si>
    <t xml:space="preserve">Fuel-Tax Exemption for Ships in Cabotage Lines </t>
  </si>
  <si>
    <t xml:space="preserve">Tax Exemption for Commercial Aviation and Jet Fuel </t>
  </si>
  <si>
    <t xml:space="preserve">Fuel-Tax Exemption for vehicles used for National Security </t>
  </si>
  <si>
    <t>Table 23.2. Summary of fossil-fuel support to petroleum – Turkey (Millions of Turkish lira, nominal)</t>
    <phoneticPr fontId="8" type="noConversion"/>
  </si>
  <si>
    <t>Table 23.3. Summary of fossil-fuel support to natural gas – Turkey (Millions of Turkish lira, nominal)</t>
    <phoneticPr fontId="8" type="noConversion"/>
  </si>
  <si>
    <t xml:space="preserve">Table 23.1. Summary of fossil-fuel support to coal – Turkey (Millions of Turkish lira, nominal) </t>
    <phoneticPr fontId="8" type="noConversion"/>
  </si>
  <si>
    <t xml:space="preserve">UK Coal Operating Aid Scheme </t>
  </si>
  <si>
    <t xml:space="preserve">Coal Investment Aid </t>
  </si>
  <si>
    <t xml:space="preserve">Table 19.1. Summary of fossil-fuel support to coal – Norway (Millions of Norwegian kroner, nominal) </t>
    <phoneticPr fontId="8" type="noConversion"/>
  </si>
  <si>
    <t xml:space="preserve">NOx Tax Exemption for the Petroleum Sector </t>
  </si>
  <si>
    <t xml:space="preserve">CO2 Tax Exemption for Fisheries </t>
  </si>
  <si>
    <t xml:space="preserve">Energy Tax Exempion for Diesel Powered Trains </t>
  </si>
  <si>
    <t xml:space="preserve">Energy Tax Exemption for Domestic Shipping </t>
  </si>
  <si>
    <t xml:space="preserve">Energy Tax Exemption for Domestic Aviation </t>
  </si>
  <si>
    <t xml:space="preserve">Reduced Energy Tax Rate for Fossil Fuels Used for Heating </t>
  </si>
  <si>
    <t xml:space="preserve">Energy Tax Exemption for Heating in Greenhouses and Agriculture </t>
  </si>
  <si>
    <r>
      <t>Specific CO</t>
    </r>
    <r>
      <rPr>
        <sz val="6"/>
        <color indexed="8"/>
        <rFont val="Arial"/>
      </rPr>
      <t xml:space="preserve">2 </t>
    </r>
    <r>
      <rPr>
        <sz val="9"/>
        <color indexed="8"/>
        <rFont val="Arial"/>
        <family val="2"/>
      </rPr>
      <t xml:space="preserve">Tax Reduction for Greenhouses and Agriculture </t>
    </r>
  </si>
  <si>
    <r>
      <t>General CO</t>
    </r>
    <r>
      <rPr>
        <sz val="6"/>
        <color indexed="8"/>
        <rFont val="Arial"/>
      </rPr>
      <t xml:space="preserve">2 </t>
    </r>
    <r>
      <rPr>
        <sz val="9"/>
        <color indexed="8"/>
        <rFont val="Arial"/>
        <family val="2"/>
      </rPr>
      <t xml:space="preserve">Tax Reduction for Greenhouses and Agriculture </t>
    </r>
  </si>
  <si>
    <t xml:space="preserve">CO2 Tax Reduction for Diesel used in Agriculture and Forestry </t>
  </si>
  <si>
    <t>Subsidy for Oil Refining Technology Programmes</t>
  </si>
  <si>
    <t>––</t>
    <phoneticPr fontId="8" type="noConversion"/>
  </si>
  <si>
    <t>Support forintermediate inputs</t>
    <phoneticPr fontId="8" type="noConversion"/>
  </si>
  <si>
    <t xml:space="preserve">NOx Tax Exemption for Shipping </t>
  </si>
  <si>
    <t xml:space="preserve">NOx Tax Exemption for Fisheries </t>
  </si>
  <si>
    <r>
      <t>NO</t>
    </r>
    <r>
      <rPr>
        <sz val="6"/>
        <color indexed="8"/>
        <rFont val="Arial"/>
      </rPr>
      <t xml:space="preserve">x </t>
    </r>
    <r>
      <rPr>
        <sz val="9"/>
        <color indexed="8"/>
        <rFont val="Arial"/>
        <family val="2"/>
      </rPr>
      <t xml:space="preserve">Tax Exemption for Aviation </t>
    </r>
  </si>
  <si>
    <t xml:space="preserve">Lower Tax Rate on Diesel Compared to Petrol </t>
  </si>
  <si>
    <t xml:space="preserve">Fuel Tax Credit for Agriculture and Fisheries </t>
  </si>
  <si>
    <t xml:space="preserve">Petroleum Revenue Stabilisation Fund </t>
  </si>
  <si>
    <r>
      <t>Reduced CO</t>
    </r>
    <r>
      <rPr>
        <sz val="6"/>
        <color indexed="8"/>
        <rFont val="Arial"/>
      </rPr>
      <t xml:space="preserve">2 </t>
    </r>
    <r>
      <rPr>
        <sz val="9"/>
        <color indexed="8"/>
        <rFont val="Arial"/>
        <family val="2"/>
      </rPr>
      <t xml:space="preserve">Tax Rate for Natural Gas and LPG Used in Transport </t>
    </r>
  </si>
  <si>
    <t xml:space="preserve">Table 20.1. Summary of fossil-fuel support to coal – Poland (Millions of Polish zloty, nominal) </t>
    <phoneticPr fontId="8" type="noConversion"/>
  </si>
  <si>
    <t xml:space="preserve">Rebates on Diesel Fuel Tax in Farming </t>
  </si>
  <si>
    <t xml:space="preserve">Table 20.2. Summary of fossil-fuel support to petroleum – Poland (Millions of Polish zloty, nominal) </t>
    <phoneticPr fontId="8" type="noConversion"/>
  </si>
  <si>
    <t xml:space="preserve">Operating Aid to HUNOSA </t>
  </si>
  <si>
    <t xml:space="preserve">Operating Aid to Coal Producers </t>
  </si>
  <si>
    <t xml:space="preserve">Subsidy for the Interbasin Transport of Coal </t>
  </si>
  <si>
    <t xml:space="preserve">Adjustment Aid to Coal Producers </t>
  </si>
  <si>
    <t xml:space="preserve">Funding for Coal Stockpiles </t>
  </si>
  <si>
    <t xml:space="preserve">Inherited Liabilities Due to Coal Mining </t>
  </si>
  <si>
    <t xml:space="preserve">Support element </t>
    <phoneticPr fontId="8" type="noConversion"/>
  </si>
  <si>
    <t xml:space="preserve">Table 21.1. Summary of fossil-fuel support to coal – Spain (Millions of euros, nominal) </t>
    <phoneticPr fontId="8" type="noConversion"/>
  </si>
  <si>
    <t xml:space="preserve">Fuel Tax Exemptions </t>
  </si>
  <si>
    <t xml:space="preserve">Fuel Tax Reductions </t>
  </si>
  <si>
    <t xml:space="preserve">Reduced Rate of VAT for Fuel and Power </t>
  </si>
  <si>
    <t xml:space="preserve">Inherited Liabilities Related to Coal Mining </t>
  </si>
  <si>
    <t xml:space="preserve">Support element </t>
    <phoneticPr fontId="8" type="noConversion"/>
  </si>
  <si>
    <t xml:space="preserve">Funding for Resources Technologies R&amp;D </t>
  </si>
  <si>
    <t xml:space="preserve">Table 14.2. Summary of fossil-fuel support to petroleum (Millions of Korean won, nominal) </t>
    <phoneticPr fontId="8" type="noConversion"/>
  </si>
  <si>
    <t>Table 14.1. Summary of fossil-fuel support to coal – Korea (Millions of Korean won, nominal)</t>
    <phoneticPr fontId="8" type="noConversion"/>
  </si>
  <si>
    <t>–</t>
  </si>
  <si>
    <t xml:space="preserve">Table 21.2. Summary of fossil-fuel support to petroleum – Spain (Millions of euros, nominal) </t>
    <phoneticPr fontId="8" type="noConversion"/>
  </si>
  <si>
    <t xml:space="preserve">Energy Tax Exemption for Industrial Consumers </t>
  </si>
  <si>
    <r>
      <t>Reduced CO</t>
    </r>
    <r>
      <rPr>
        <sz val="6"/>
        <color indexed="8"/>
        <rFont val="Arial"/>
      </rPr>
      <t xml:space="preserve">2 </t>
    </r>
    <r>
      <rPr>
        <sz val="9"/>
        <color indexed="8"/>
        <rFont val="Arial"/>
        <family val="2"/>
      </rPr>
      <t xml:space="preserve">Tax Rate for Industrial Consumers outside EU ETS </t>
    </r>
  </si>
  <si>
    <t xml:space="preserve">CO2 Tax Reduction for Energy Intensive Companies </t>
  </si>
  <si>
    <t xml:space="preserve">CO2 Tax Exemption for Peat </t>
  </si>
  <si>
    <t xml:space="preserve">Concessions on Basic Tax on Mineral Oil </t>
  </si>
  <si>
    <r>
      <t>Concessions on SO</t>
    </r>
    <r>
      <rPr>
        <sz val="6"/>
        <color indexed="8"/>
        <rFont val="Arial"/>
      </rPr>
      <t xml:space="preserve">2 </t>
    </r>
    <r>
      <rPr>
        <sz val="9"/>
        <color indexed="8"/>
        <rFont val="Arial"/>
        <family val="2"/>
      </rPr>
      <t xml:space="preserve">Tax </t>
    </r>
  </si>
  <si>
    <t xml:space="preserve">Fuel Tax Reduction for Rail Transport </t>
  </si>
  <si>
    <t xml:space="preserve">Energy Tax Breaks for Agriculture </t>
  </si>
  <si>
    <t xml:space="preserve">Tax Relief for Public Transport </t>
  </si>
  <si>
    <t xml:space="preserve">Tax Relief for Ambulances </t>
  </si>
  <si>
    <t xml:space="preserve">Tax Relief for Trucking Companies </t>
  </si>
  <si>
    <t xml:space="preserve">Tax Relief for Users Living in Disadvantaged Areas </t>
  </si>
  <si>
    <t xml:space="preserve">Table 12.1. Summary of fossil-fuel support to petroleum – Italy (Millions of euros, nominal) </t>
    <phoneticPr fontId="8" type="noConversion"/>
  </si>
  <si>
    <t xml:space="preserve">Stranded Costs Compensations </t>
  </si>
  <si>
    <r>
      <t>Support for land (</t>
    </r>
    <r>
      <rPr>
        <i/>
        <sz val="9"/>
        <color indexed="8"/>
        <rFont val="Arial"/>
      </rPr>
      <t>e.g</t>
    </r>
    <r>
      <rPr>
        <sz val="9"/>
        <color indexed="8"/>
        <rFont val="Arial"/>
        <family val="2"/>
      </rPr>
      <t xml:space="preserve">. royalty concessions) </t>
    </r>
  </si>
  <si>
    <t xml:space="preserve">NFOSiGW Aid for Environmental Protection </t>
  </si>
  <si>
    <t xml:space="preserve">Initial Investment Aid for Hard Coal Mining </t>
  </si>
  <si>
    <t xml:space="preserve">Exemption or Deferral of Social Contributions </t>
  </si>
  <si>
    <t xml:space="preserve">R&amp;D Funding from the Research Committee </t>
  </si>
  <si>
    <t xml:space="preserve">Coal Allowances in Coal Mining Sector </t>
  </si>
  <si>
    <t xml:space="preserve">Aid for Coal Mine Decommissioning </t>
  </si>
  <si>
    <t xml:space="preserve">Rehabilitation of Regions Damaged by Coal Mining </t>
  </si>
  <si>
    <t xml:space="preserve">Investment Aid from the Ministry of Economy </t>
  </si>
  <si>
    <t xml:space="preserve">Aid for Restructuring of the Coal Mining Sector </t>
  </si>
  <si>
    <t xml:space="preserve">Aid for Employment Restructuring </t>
  </si>
  <si>
    <t xml:space="preserve">Early Retirement Benefits for Laid Off Miners </t>
  </si>
  <si>
    <t xml:space="preserve">Support element </t>
    <phoneticPr fontId="8" type="noConversion"/>
  </si>
  <si>
    <t xml:space="preserve">Support element </t>
    <phoneticPr fontId="8" type="noConversion"/>
  </si>
  <si>
    <t xml:space="preserve">Table 18.2. Summary of fossil-fuel support to natural gas – New Zealand (Millions of New Zealand dollars, nominal) </t>
    <phoneticPr fontId="8" type="noConversion"/>
  </si>
  <si>
    <t xml:space="preserve">Operating Subsidy for Store Norske </t>
  </si>
  <si>
    <t xml:space="preserve">NOx Tax Exemption for Industry </t>
  </si>
  <si>
    <t xml:space="preserve">Support element </t>
    <phoneticPr fontId="8" type="noConversion"/>
  </si>
  <si>
    <t xml:space="preserve">Coal Mining - Inherited Environmental Liabilities </t>
  </si>
  <si>
    <t xml:space="preserve">Coal Mining - Inherited Social Liabilities </t>
  </si>
  <si>
    <t xml:space="preserve">Funding for CCS and Clean-Fuel R&amp;D </t>
  </si>
  <si>
    <t xml:space="preserve">Funding for Renewable Energy R&amp;D </t>
  </si>
  <si>
    <t xml:space="preserve">Support element </t>
    <phoneticPr fontId="8" type="noConversion"/>
  </si>
  <si>
    <t xml:space="preserve">Fuel Subsidy for Certain Users - Buses </t>
  </si>
  <si>
    <t xml:space="preserve">Fuel Subsidy for Certain Users - Taxis </t>
  </si>
  <si>
    <t xml:space="preserve">Fuel Subsidy for Certain Users - Freight Transport </t>
  </si>
  <si>
    <t xml:space="preserve">Fuel Subsidy for Certain Users - Passenger Ships </t>
  </si>
  <si>
    <t xml:space="preserve">Fuel Subsidy for Certain Users - Disabled Persons </t>
  </si>
  <si>
    <t>General Services Support Estimate</t>
    <phoneticPr fontId="8" type="noConversion"/>
  </si>
  <si>
    <t>Table 13.2.Summary of fossil-fuel support to petroleum–Japan (Millions of Japanese yen, nominal)</t>
    <phoneticPr fontId="8" type="noConversion"/>
  </si>
  <si>
    <t>Subsidy for Structural ReformMeasures</t>
    <phoneticPr fontId="8" type="noConversion"/>
  </si>
  <si>
    <t xml:space="preserve">Early Retirement Payments </t>
  </si>
  <si>
    <t xml:space="preserve">Re-Adaptation Aid Art. 56 ECSC </t>
  </si>
  <si>
    <t xml:space="preserve">Early Retirement Payments in SR </t>
  </si>
  <si>
    <t xml:space="preserve">Energy Tax Breaks for Agriculture and Manufacturing </t>
  </si>
  <si>
    <t xml:space="preserve">Peak Equalisation Scheme </t>
  </si>
  <si>
    <t xml:space="preserve">Fuel Tax Exemption for Commercial Aviation </t>
  </si>
  <si>
    <t xml:space="preserve">Fuel Tax Exemption for Internal Waterway Transportation </t>
  </si>
  <si>
    <t xml:space="preserve">Tax Relief for Public Transportation </t>
  </si>
  <si>
    <t xml:space="preserve">Support element </t>
    <phoneticPr fontId="8" type="noConversion"/>
  </si>
  <si>
    <t xml:space="preserve">Table 16.1. Summary of fossil-fuel support to petroleum – Mexico (Millions of Mexican pesos, nominal) </t>
    <phoneticPr fontId="8" type="noConversion"/>
  </si>
  <si>
    <t xml:space="preserve">Differentiated Tax Rate on Gas Oil </t>
  </si>
  <si>
    <t xml:space="preserve">Table 17.1. Summary of fossil-fuel support to petroleum – Netherlands (Millions of euros, nominal) </t>
    <phoneticPr fontId="8" type="noConversion"/>
  </si>
  <si>
    <t xml:space="preserve">Reduced Energy Tax Rate for Horticulture </t>
  </si>
  <si>
    <t xml:space="preserve">Energy Tax Rebate for Religious Institutions </t>
  </si>
  <si>
    <t xml:space="preserve">Energy Tax Rebate for Non Profit Organisations </t>
  </si>
  <si>
    <t>Table 17.2. Summary of fossil-fuel support to natural gas – Netherlands (Millions of euros, nominal)</t>
    <phoneticPr fontId="8" type="noConversion"/>
  </si>
  <si>
    <t xml:space="preserve">Motor Spirits Excise Duty Refund </t>
  </si>
  <si>
    <t xml:space="preserve">Management of IEA Oil Stocks </t>
  </si>
  <si>
    <t xml:space="preserve">Research and Development </t>
  </si>
  <si>
    <t xml:space="preserve">Acquistion of Petroleum Exploration Data </t>
  </si>
  <si>
    <t xml:space="preserve">Table 18.1. Summary of fossil-fuel support to petroleum – New Zealand (Millions of New Zealand dollars, nominal) </t>
    <phoneticPr fontId="8" type="noConversion"/>
  </si>
  <si>
    <t xml:space="preserve">Fuel Subsidy for Certain Users - Meritorious Persons </t>
  </si>
  <si>
    <t xml:space="preserve">Fuel Tax Exemption for Fisheries </t>
  </si>
  <si>
    <t xml:space="preserve">Promotion of Natural Gas Use Subsidy </t>
  </si>
  <si>
    <t xml:space="preserve">Support element </t>
    <phoneticPr fontId="8" type="noConversion"/>
  </si>
  <si>
    <t>Table 13.3. Summary of fossil-fuel support to natural gas – Japan (Millions of Japanese yen, nominal)</t>
    <phoneticPr fontId="8" type="noConversion"/>
  </si>
  <si>
    <t xml:space="preserve">Table 10.1. Summary of fossil-fuel support to coal – Ireland (Millions of euros, nominal) </t>
    <phoneticPr fontId="8" type="noConversion"/>
  </si>
  <si>
    <t xml:space="preserve">Reduced Royalty Payments </t>
  </si>
  <si>
    <t xml:space="preserve">Depletion Deduction </t>
  </si>
  <si>
    <t xml:space="preserve">Excise-Tax Exemption on Diesel </t>
  </si>
  <si>
    <t xml:space="preserve">Table 11.1. Summary of fossil-fuel support to petroleum – Israel (Millions of Israeli shekels, nominal) </t>
    <phoneticPr fontId="8" type="noConversion"/>
  </si>
  <si>
    <t xml:space="preserve">Table 11.2. Summary of fossil-fuel support to natural gas – Israel (Millions of Israeli shekels, nominal) </t>
    <phoneticPr fontId="8" type="noConversion"/>
  </si>
  <si>
    <t xml:space="preserve">Fuel Tax Exemption for Shipping </t>
  </si>
  <si>
    <t xml:space="preserve">Refund for Fuel Oil Used in Agriculture </t>
  </si>
  <si>
    <t xml:space="preserve">Excise-Tax Exemption for Certain Boats </t>
  </si>
  <si>
    <t xml:space="preserve">Excise-Tax Exemption for Domestic Aviation </t>
  </si>
  <si>
    <t xml:space="preserve">Table 6.2.Summary of fossil-fuel support to petroleum – France (Millions of euros, nominal) </t>
    <phoneticPr fontId="8" type="noConversion"/>
  </si>
  <si>
    <t xml:space="preserve">Excise-Tax Exemption for Natural Gas Producers </t>
  </si>
  <si>
    <t xml:space="preserve">Excise-Tax Exemption for Local Administrations </t>
  </si>
  <si>
    <t xml:space="preserve">Tax Relief for Industrial Users of Natural Gas </t>
  </si>
  <si>
    <t xml:space="preserve">Table 12.2. Summary of fossil-fuel support to natural gas – Italy (Millions of euros, nominal) </t>
    <phoneticPr fontId="8" type="noConversion"/>
  </si>
  <si>
    <t>Table 7.1.Summary of fossil-fuel support to coal – Germany (Millions of euros, nominal)</t>
    <phoneticPr fontId="8" type="noConversion"/>
  </si>
  <si>
    <t xml:space="preserve">Coal Pennies </t>
  </si>
  <si>
    <t xml:space="preserve">Household Natural Gas and Heat Subsidies </t>
  </si>
  <si>
    <t xml:space="preserve">Reduced Rate of VAT for District Heating </t>
  </si>
  <si>
    <t xml:space="preserve">Table 14.3. Summary of fossil-fuel support to natural gas – Korea (Millions of Korean won, nominal) </t>
    <phoneticPr fontId="8" type="noConversion"/>
  </si>
  <si>
    <t xml:space="preserve">General Diesel Tax Credit </t>
  </si>
  <si>
    <t xml:space="preserve">Diesel Tax Credit for Commuters </t>
  </si>
  <si>
    <t xml:space="preserve">Tax Credit for Marine Diesel </t>
  </si>
  <si>
    <t xml:space="preserve">Tax Credit for Purchased Diesel </t>
  </si>
  <si>
    <t>No data.</t>
    <phoneticPr fontId="8" type="noConversion"/>
  </si>
  <si>
    <t xml:space="preserve">Support to Coal Production - Direct Support </t>
  </si>
  <si>
    <t xml:space="preserve">Support to Coal Production - Government Injection </t>
  </si>
  <si>
    <t xml:space="preserve">Support to Briquette Production - Costs of Intermediates </t>
  </si>
  <si>
    <t xml:space="preserve">Support to Coal Production - Capital and Facilities </t>
  </si>
  <si>
    <t xml:space="preserve">VAT Exemption for Briquettes </t>
  </si>
  <si>
    <t xml:space="preserve">VAT Exemption for Anthracite Coal </t>
  </si>
  <si>
    <t xml:space="preserve">Table 8.1.Summary of fossil-fuel support to coal – Hungary (Millions of Hungarian forints, nominal) </t>
    <phoneticPr fontId="8" type="noConversion"/>
  </si>
  <si>
    <t xml:space="preserve">Fuel Tax Refund for Railways </t>
  </si>
  <si>
    <t xml:space="preserve">Fuel Tax Refund for Agriculture </t>
  </si>
  <si>
    <t xml:space="preserve">Table 8.2.Summary of fossil-fuel support to petroleum – Hungary (Millions of Hungarian forints, nominal) </t>
    <phoneticPr fontId="8" type="noConversion"/>
  </si>
  <si>
    <t xml:space="preserve">Table 8.3.Summary of fossil-fuel support to natural gas – Hungary (Millions of Hungarian forints, nominal) </t>
    <phoneticPr fontId="8" type="noConversion"/>
  </si>
  <si>
    <t xml:space="preserve">Public Service Obligation for Peat </t>
  </si>
  <si>
    <t xml:space="preserve">Mining Royalty Exemption for Hard Coal </t>
  </si>
  <si>
    <t xml:space="preserve">Mining Royalty Exemption for Lignite </t>
  </si>
  <si>
    <t xml:space="preserve">NW SR </t>
  </si>
  <si>
    <t xml:space="preserve">Support for labour </t>
  </si>
  <si>
    <t xml:space="preserve">Miners' Bonus </t>
  </si>
  <si>
    <t xml:space="preserve">Tax Relief for Fuels Used in Power Generation </t>
  </si>
  <si>
    <t xml:space="preserve">Tax Relief for Energy-Intensive Processes </t>
  </si>
  <si>
    <t xml:space="preserve">Excise-Tax Exemption for Biomass Producers </t>
  </si>
  <si>
    <t xml:space="preserve">Management of Old Mining Sites CdF </t>
  </si>
  <si>
    <t xml:space="preserve">Benefits to Former Miners CdF </t>
  </si>
  <si>
    <t xml:space="preserve">Table 6.1.Summary of fossil-fuel support to coal – France (Millions of euros, nominal) </t>
    <phoneticPr fontId="8" type="noConversion"/>
  </si>
  <si>
    <t xml:space="preserve">Partial Tax Deduction for Exploration Costs </t>
  </si>
  <si>
    <t xml:space="preserve">Tax Relief for LPG and Natural Gas </t>
  </si>
  <si>
    <t xml:space="preserve">Refund for Diesel Used in Agriculture and Forestry </t>
  </si>
  <si>
    <t xml:space="preserve">Fuel Tax Rebate for Horticultural Work </t>
  </si>
  <si>
    <t xml:space="preserve">Table 7.2.Summary of fossil-fuel support to petroleum – Germany (Millions of euros, nominal) </t>
    <phoneticPr fontId="8" type="noConversion"/>
  </si>
  <si>
    <t xml:space="preserve">Table 7.3.Summary of fossil-fuel support to natural gas – Germany (Millions of euros, nominal) </t>
    <phoneticPr fontId="8" type="noConversion"/>
  </si>
  <si>
    <t xml:space="preserve">Support for intermediate inputs </t>
  </si>
  <si>
    <t xml:space="preserve">Excise–Tax Exemption for Refiners </t>
  </si>
  <si>
    <t xml:space="preserve">Prime à la Cuve </t>
  </si>
  <si>
    <t xml:space="preserve">Aid to Gas Stations </t>
  </si>
  <si>
    <t xml:space="preserve">Overseas VAT Exemption for Petroleum Products </t>
  </si>
  <si>
    <t xml:space="preserve">FR97 </t>
  </si>
  <si>
    <t xml:space="preserve">VAT Reduction for Petroleum Products in Corsica </t>
  </si>
  <si>
    <t xml:space="preserve">FR20 </t>
  </si>
  <si>
    <t>Large-Scale Oil Disaster Prevention Subsidy</t>
    <phoneticPr fontId="8" type="noConversion"/>
  </si>
  <si>
    <t>Support for knowledgecreation</t>
    <phoneticPr fontId="8" type="noConversion"/>
  </si>
  <si>
    <t>Oil Prospecting Subsidy</t>
    <phoneticPr fontId="8" type="noConversion"/>
  </si>
  <si>
    <t>Oil Refining Rationalisation Subsidy</t>
    <phoneticPr fontId="8" type="noConversion"/>
  </si>
  <si>
    <t>Oil Product Quality Assurance Subsidy</t>
  </si>
  <si>
    <t>––––</t>
    <phoneticPr fontId="8" type="noConversion"/>
  </si>
  <si>
    <t>Consumer Support Estimate (n.a.)</t>
  </si>
  <si>
    <t>Producer Support Estimate</t>
    <phoneticPr fontId="8" type="noConversion"/>
  </si>
  <si>
    <t xml:space="preserve">Natural Gas Exploration Subsidy </t>
  </si>
  <si>
    <t xml:space="preserve">Exemption from Excise for 'Alternative Fuels' </t>
  </si>
  <si>
    <t xml:space="preserve">Reduced Excise Rate on Heating Oil et al. </t>
  </si>
  <si>
    <t xml:space="preserve">Reduced Rate of Excise for Taxi Drivers </t>
  </si>
  <si>
    <t xml:space="preserve">Excise-Tax Exemption for Certain Merchants </t>
  </si>
  <si>
    <t xml:space="preserve">Excise-Tax Exemption for Co-generation </t>
  </si>
  <si>
    <t xml:space="preserve">Excise-Tax Exemption for the Ministry of Defense </t>
  </si>
  <si>
    <t xml:space="preserve">Reduced Rate for Fuel Oil Used as Diesel Fuel </t>
  </si>
  <si>
    <t xml:space="preserve">Reduced Rate for NGLs Used as Fuel </t>
  </si>
  <si>
    <t xml:space="preserve">Reduced Rate of Excise for LPG </t>
  </si>
  <si>
    <t xml:space="preserve">Reduced Rate for Certain Types of Machines </t>
  </si>
  <si>
    <t xml:space="preserve">Reduced Rate for Petroleum Products in Corsica </t>
  </si>
  <si>
    <t xml:space="preserve">Refund for Public Transportation and Garbage Collection </t>
  </si>
  <si>
    <t xml:space="preserve">Refund for Diesel Used in Road Transport </t>
  </si>
  <si>
    <t xml:space="preserve">Refund for Diesel Used in Public Transportation </t>
  </si>
  <si>
    <t xml:space="preserve">Reticulated Natural Gas Rebate </t>
  </si>
  <si>
    <t xml:space="preserve">Home Energy Emergency Assistance Scheme </t>
  </si>
  <si>
    <t xml:space="preserve">Infrastructure Bonds Scheme Power Generation </t>
  </si>
  <si>
    <t xml:space="preserve">Infrastructure Borrowings Tax Offset Scheme - Power Generation </t>
  </si>
  <si>
    <t xml:space="preserve">Support element </t>
    <phoneticPr fontId="8" type="noConversion"/>
  </si>
  <si>
    <r>
      <t>Support for land (</t>
    </r>
    <r>
      <rPr>
        <i/>
        <sz val="10"/>
        <color indexed="8"/>
        <rFont val="Verdana"/>
      </rPr>
      <t xml:space="preserve">e.g. </t>
    </r>
    <r>
      <rPr>
        <sz val="10"/>
        <color indexed="8"/>
        <rFont val="Verdana"/>
      </rPr>
      <t xml:space="preserve">royalty concessions) </t>
    </r>
  </si>
  <si>
    <t>(1st zero is n.a.)</t>
    <phoneticPr fontId="8" type="noConversion"/>
  </si>
  <si>
    <t xml:space="preserve">Excise-Tax Exemption for Households </t>
  </si>
  <si>
    <t xml:space="preserve">Reduced Rate for Natural Gas Used as Fuel </t>
  </si>
  <si>
    <t xml:space="preserve">Table 6.3.Summary of fossil-fuel support to natural gas – France (Millions of euros, nominal) </t>
    <phoneticPr fontId="8" type="noConversion"/>
  </si>
  <si>
    <t xml:space="preserve">Third Power Generation Act </t>
  </si>
  <si>
    <t xml:space="preserve">Combined Aids </t>
  </si>
  <si>
    <t xml:space="preserve">NW </t>
  </si>
  <si>
    <t xml:space="preserve">Aids for Capacity Reduction </t>
  </si>
  <si>
    <t xml:space="preserve">Aid to Saarbergwerke AG </t>
  </si>
  <si>
    <t xml:space="preserve">SR </t>
  </si>
  <si>
    <t xml:space="preserve">Manufacturer Privilege </t>
  </si>
  <si>
    <t>Table 4.1.Summary of fossil-fuel support to coal – Canada (Millions of Canadian dollars, nominal)</t>
    <phoneticPr fontId="8" type="noConversion"/>
  </si>
  <si>
    <t xml:space="preserve">Syncrude Remission Order </t>
  </si>
  <si>
    <t xml:space="preserve">Energy Industry Drilling Stimulus </t>
  </si>
  <si>
    <t xml:space="preserve">AB </t>
  </si>
  <si>
    <t xml:space="preserve">Alberta Royalty Tax Credit </t>
  </si>
  <si>
    <t xml:space="preserve">Alberta Crown Royalty Reductions </t>
  </si>
  <si>
    <t xml:space="preserve">Saskatchewan Petroleum Research Incentive </t>
  </si>
  <si>
    <t xml:space="preserve">SK </t>
  </si>
  <si>
    <t xml:space="preserve">Reclassification of Expenses Under FTS </t>
  </si>
  <si>
    <t xml:space="preserve">Accelerated Capital Cost Allowance1 </t>
  </si>
  <si>
    <t xml:space="preserve">Alberta Farm Fuel Distribution Allowance </t>
  </si>
  <si>
    <t xml:space="preserve">Home Heating Assistance for Alternative Fuels </t>
  </si>
  <si>
    <t xml:space="preserve">Alberta Tax Exempt Fuel Use Program2 </t>
  </si>
  <si>
    <t xml:space="preserve">Queensland Fuel Subsidy Scheme </t>
  </si>
  <si>
    <t xml:space="preserve">Western Australian Diesel Subsidy </t>
  </si>
  <si>
    <t xml:space="preserve">Petroleum Products Freight Subsidy Scheme </t>
  </si>
  <si>
    <t xml:space="preserve">Fuel Tax Credits </t>
  </si>
  <si>
    <t xml:space="preserve">Fuel Tax Exemption for Farm Activity Heating and Mining </t>
  </si>
  <si>
    <t xml:space="preserve">Orphan Well Fund </t>
  </si>
  <si>
    <t xml:space="preserve">Petroleum Technology Research Centre </t>
  </si>
  <si>
    <t xml:space="preserve">Table 4.2.Summary of fossil-fuel support to petroleum – Canada (Millions of Canadian dollars, nominal) </t>
    <phoneticPr fontId="8" type="noConversion"/>
  </si>
  <si>
    <t xml:space="preserve">Support to SaskEnergy for the La Ronge Project </t>
  </si>
  <si>
    <t xml:space="preserve">Table 4.3.Summary of fossil-fuel support to natural gas – Canada (Millions of Canadian dollars, nominal) </t>
    <phoneticPr fontId="8" type="noConversion"/>
  </si>
  <si>
    <t>No data</t>
    <phoneticPr fontId="8" type="noConversion"/>
  </si>
  <si>
    <t xml:space="preserve">Capital Contribution to CdF </t>
  </si>
  <si>
    <t xml:space="preserve">– </t>
  </si>
  <si>
    <t xml:space="preserve">Interest Payments on 1997-99 Debt of CdF </t>
  </si>
  <si>
    <t>Total Oil Consumption</t>
    <phoneticPr fontId="8" type="noConversion"/>
  </si>
  <si>
    <t>Total Oil General Support</t>
    <phoneticPr fontId="8" type="noConversion"/>
  </si>
  <si>
    <t>Total Oil</t>
    <phoneticPr fontId="8" type="noConversion"/>
  </si>
  <si>
    <t>Total Gas Production</t>
    <phoneticPr fontId="8" type="noConversion"/>
  </si>
  <si>
    <t>Total Gas Consumption</t>
    <phoneticPr fontId="8" type="noConversion"/>
  </si>
  <si>
    <t>Total Gas General Support</t>
    <phoneticPr fontId="8" type="noConversion"/>
  </si>
  <si>
    <t>Total Gas</t>
    <phoneticPr fontId="8" type="noConversion"/>
  </si>
  <si>
    <t>Total Production</t>
    <phoneticPr fontId="8" type="noConversion"/>
  </si>
  <si>
    <t>Total Consumption</t>
    <phoneticPr fontId="8" type="noConversion"/>
  </si>
  <si>
    <t>Total General Support</t>
    <phoneticPr fontId="8" type="noConversion"/>
  </si>
  <si>
    <t>Table 2.3.Summary of fossil-fuel support to natural gas – Australia (Millions of Australian dollars, nominal)</t>
    <phoneticPr fontId="8" type="noConversion"/>
  </si>
  <si>
    <t xml:space="preserve">Producer Support Estimate (n.a.) </t>
  </si>
  <si>
    <t xml:space="preserve">Fonds Social Mazout </t>
  </si>
  <si>
    <t xml:space="preserve">Special Heating Grant </t>
  </si>
  <si>
    <t xml:space="preserve">Fuel Tax Reduction for Certain Professional Uses </t>
  </si>
  <si>
    <t xml:space="preserve">Fuel Tax Exemption for Regional Bus Transport </t>
  </si>
  <si>
    <t xml:space="preserve">Fuel Tax Reduction for Certain Industrial Uses </t>
  </si>
  <si>
    <t xml:space="preserve">Fuel Tax Exemption for Agriculture </t>
  </si>
  <si>
    <t xml:space="preserve">Support element </t>
    <phoneticPr fontId="8" type="noConversion"/>
  </si>
  <si>
    <t xml:space="preserve">Table 3.1.Summary of fossil-fuel support to petroleum – Belgium (Millions of euros, nominal) </t>
    <phoneticPr fontId="8" type="noConversion"/>
  </si>
  <si>
    <t xml:space="preserve">Social Tariff for Natural Gas </t>
  </si>
  <si>
    <t xml:space="preserve">Support element </t>
    <phoneticPr fontId="8" type="noConversion"/>
  </si>
  <si>
    <t xml:space="preserve">Table 3.2.Summary of fossil-fuel support to natural gas – Belgium (Millions of euros, nominal) </t>
    <phoneticPr fontId="8" type="noConversion"/>
  </si>
  <si>
    <t xml:space="preserve">Support for land (e.g. royalty concessions) </t>
  </si>
  <si>
    <t xml:space="preserve">Excess of Resource Allowance over Non Deductibility of Royalties </t>
  </si>
  <si>
    <t xml:space="preserve">Earned Depletion Allowance </t>
  </si>
  <si>
    <t xml:space="preserve">Flow Through Share Deductions </t>
  </si>
  <si>
    <t xml:space="preserve">Your Energy Rebate </t>
  </si>
  <si>
    <t xml:space="preserve">NS </t>
  </si>
  <si>
    <t xml:space="preserve">Support element </t>
    <phoneticPr fontId="8" type="noConversion"/>
  </si>
  <si>
    <t xml:space="preserve">Credit for Investment in Clean Coal </t>
  </si>
  <si>
    <t xml:space="preserve">Amortisation of Certain Pollution Control Facilities </t>
  </si>
  <si>
    <t xml:space="preserve">Industrial Expansion and Revitalization Credit </t>
  </si>
  <si>
    <t xml:space="preserve">Credit for Reducing Utility Charges </t>
  </si>
  <si>
    <t xml:space="preserve">General Services Support Estimate </t>
  </si>
  <si>
    <t xml:space="preserve">Fossil Energy R&amp;D </t>
  </si>
  <si>
    <t xml:space="preserve">General Services Support Estimate (n.a.) </t>
  </si>
  <si>
    <t>Table 2.2.Summary of fossil-fuel support to petroleum – Australia (Millions of Australian dollars, nominal)</t>
    <phoneticPr fontId="8" type="noConversion"/>
  </si>
  <si>
    <t xml:space="preserve">Dampier to Bunbury Gas Pipeline Sale Assistance </t>
  </si>
  <si>
    <t xml:space="preserve">North West Shelf Gas Financial Assistance </t>
  </si>
  <si>
    <t xml:space="preserve">Infrastructure Bonds Scheme Transport </t>
  </si>
  <si>
    <t xml:space="preserve">Infrastructure Borrowings Tax Offset Scheme - Transport </t>
  </si>
  <si>
    <t xml:space="preserve">Table 25.1. Summary of fossil-fuel support to coal – United States </t>
  </si>
  <si>
    <t xml:space="preserve">Severance Tax Exemptions for Crude Oil </t>
  </si>
  <si>
    <t xml:space="preserve">TX </t>
  </si>
  <si>
    <t xml:space="preserve">Development Credit for Certain Producers </t>
  </si>
  <si>
    <t xml:space="preserve">AK </t>
  </si>
  <si>
    <t xml:space="preserve">Exclusion of Low-Volume Oil &amp; Gas Wells </t>
  </si>
  <si>
    <t xml:space="preserve">Income support </t>
  </si>
  <si>
    <t xml:space="preserve">Exception from Passive Loss Limitation </t>
  </si>
  <si>
    <t xml:space="preserve">Expensing of Exploration and Development Costs </t>
  </si>
  <si>
    <t>(zero is n.a.)</t>
    <phoneticPr fontId="8" type="noConversion"/>
  </si>
  <si>
    <t>(zero is n.a.)</t>
    <phoneticPr fontId="8" type="noConversion"/>
  </si>
  <si>
    <t xml:space="preserve">(zero is n.c.) </t>
    <phoneticPr fontId="8" type="noConversion"/>
  </si>
  <si>
    <t>(first zero is n.a.)</t>
    <phoneticPr fontId="8" type="noConversion"/>
  </si>
  <si>
    <t xml:space="preserve">(zero is n.a.) </t>
    <phoneticPr fontId="8" type="noConversion"/>
  </si>
  <si>
    <t>(zeros are n.a.)</t>
    <phoneticPr fontId="8" type="noConversion"/>
  </si>
  <si>
    <t>(first zero is n.a.; second zero is ..)</t>
    <phoneticPr fontId="8" type="noConversion"/>
  </si>
  <si>
    <t>Source (PDF): http://www.oecd.org/dataoecd/55/22/48786795.pdf</t>
    <phoneticPr fontId="8" type="noConversion"/>
  </si>
  <si>
    <t xml:space="preserve">Accelerated Depreciation for Mining Buildings </t>
  </si>
  <si>
    <t xml:space="preserve">Capital Expenditure Deduction for Mining et al. </t>
  </si>
  <si>
    <t xml:space="preserve">Exploration and Prospecting Deduction </t>
  </si>
  <si>
    <t xml:space="preserve">Consumer Support Estimate (n.a.) </t>
  </si>
  <si>
    <t xml:space="preserve">Collingwood Park Assistance Package </t>
  </si>
  <si>
    <t xml:space="preserve">QLD </t>
  </si>
  <si>
    <t xml:space="preserve">Coal Industry Development </t>
  </si>
  <si>
    <t xml:space="preserve">WA </t>
  </si>
  <si>
    <t xml:space="preserve"> Support element </t>
    <phoneticPr fontId="8" type="noConversion"/>
  </si>
  <si>
    <t xml:space="preserve">Table 2.1.Summary of fossil-fuel support to coal – Australia (Millions of Australian dollars, nominal) </t>
    <phoneticPr fontId="8" type="noConversion"/>
  </si>
  <si>
    <t xml:space="preserve">Support element </t>
  </si>
  <si>
    <t xml:space="preserve">Cleaner Fuels Grants Scheme </t>
  </si>
  <si>
    <t xml:space="preserve">Exemption from Crude Oil Excise for Condensate </t>
  </si>
  <si>
    <r>
      <t xml:space="preserve">Capital Expenditure Deduction for Mining </t>
    </r>
    <r>
      <rPr>
        <i/>
        <sz val="9"/>
        <color indexed="8"/>
        <rFont val="Arial"/>
      </rPr>
      <t>et al</t>
    </r>
    <r>
      <rPr>
        <sz val="9"/>
        <color indexed="8"/>
        <rFont val="Arial"/>
        <family val="2"/>
      </rPr>
      <t xml:space="preserve">. </t>
    </r>
  </si>
  <si>
    <t xml:space="preserve">Diesel and Alternative Fuels Grants Scheme </t>
  </si>
  <si>
    <t xml:space="preserve">Fuel Sales Grants Scheme </t>
  </si>
  <si>
    <r>
      <t>Support for land (</t>
    </r>
    <r>
      <rPr>
        <i/>
        <sz val="9"/>
        <color indexed="8"/>
        <rFont val="Arial"/>
      </rPr>
      <t xml:space="preserve">e.g. </t>
    </r>
    <r>
      <rPr>
        <sz val="9"/>
        <color indexed="8"/>
        <rFont val="Arial"/>
        <family val="2"/>
      </rPr>
      <t xml:space="preserve">royalty concessions) </t>
    </r>
  </si>
  <si>
    <t xml:space="preserve">Capital Gains Treatment of Royalties on Coal </t>
  </si>
  <si>
    <t>Support element</t>
  </si>
  <si>
    <t>Jurisdiction</t>
  </si>
  <si>
    <t>Avg 2000-02</t>
  </si>
  <si>
    <t>Avg 2008-10</t>
  </si>
  <si>
    <t>2010p</t>
  </si>
  <si>
    <t>(zeros are n.a.)</t>
    <phoneticPr fontId="8" type="noConversion"/>
  </si>
  <si>
    <t>(first zero n.c., then ..)</t>
    <phoneticPr fontId="8" type="noConversion"/>
  </si>
  <si>
    <t>(first zero is n.a., second is ..)</t>
    <phoneticPr fontId="8" type="noConversion"/>
  </si>
  <si>
    <t xml:space="preserve">Reduced Excise Rate on Aviation Fuel </t>
  </si>
  <si>
    <t>U.S. Fossil Fuel Subsidies (in millions of dollars)</t>
    <phoneticPr fontId="8" type="noConversion"/>
  </si>
  <si>
    <t xml:space="preserve">Avg 2000-02 </t>
    <phoneticPr fontId="8" type="noConversion"/>
  </si>
  <si>
    <t xml:space="preserve">2010p </t>
    <phoneticPr fontId="8" type="noConversion"/>
  </si>
  <si>
    <t>Total Coal Production</t>
    <phoneticPr fontId="8" type="noConversion"/>
  </si>
  <si>
    <t>Total Coal Consumption</t>
    <phoneticPr fontId="8" type="noConversion"/>
  </si>
  <si>
    <t>Total Coal General Support</t>
    <phoneticPr fontId="8" type="noConversion"/>
  </si>
  <si>
    <t>Total Coal</t>
    <phoneticPr fontId="8" type="noConversion"/>
  </si>
  <si>
    <t>Total Oil Production</t>
    <phoneticPr fontId="8" type="noConversion"/>
  </si>
  <si>
    <t>Israel Fossil Fuel Subsidies (in millions of Israeli shekels)</t>
    <phoneticPr fontId="8" type="noConversion"/>
  </si>
  <si>
    <t>Ireland Fossil Fuel Subsidies (in millions of Euros)</t>
    <phoneticPr fontId="8" type="noConversion"/>
  </si>
  <si>
    <t>Hungary Fossil Fuel Subsidies (in millions of Hungarian forints)</t>
    <phoneticPr fontId="8" type="noConversion"/>
  </si>
  <si>
    <t>Germany Fossil Fuel Subsidies (in millions of Euros)</t>
    <phoneticPr fontId="8" type="noConversion"/>
  </si>
  <si>
    <t>France Fossil Fuel Subsidies (in millions of Euros)</t>
    <phoneticPr fontId="8" type="noConversion"/>
  </si>
  <si>
    <t>Total Fossi Fuel Subsidies</t>
    <phoneticPr fontId="8" type="noConversion"/>
  </si>
  <si>
    <t xml:space="preserve">Avg 2000-02 </t>
    <phoneticPr fontId="8" type="noConversion"/>
  </si>
  <si>
    <t xml:space="preserve">2010p </t>
    <phoneticPr fontId="8" type="noConversion"/>
  </si>
  <si>
    <t>(zero is n.c.)</t>
    <phoneticPr fontId="8" type="noConversion"/>
  </si>
  <si>
    <t xml:space="preserve">Fuel Tax Exemption for Aviation </t>
  </si>
  <si>
    <t xml:space="preserve">Fuel Tax Exemption for Dyed Diesel </t>
  </si>
  <si>
    <t xml:space="preserve">Fuel Tax Exemption for Propane </t>
  </si>
  <si>
    <t xml:space="preserve">Fuel Tax Exemption for County Boards of Education </t>
  </si>
  <si>
    <t xml:space="preserve">Fuel Tax Exemption for Certain Public Administrations </t>
  </si>
  <si>
    <t xml:space="preserve">Fuel Tax Exemption for Certain Off-Highway Uses </t>
  </si>
  <si>
    <t xml:space="preserve">Strategic Petroleum Reserve </t>
  </si>
  <si>
    <t xml:space="preserve">Northeast Home Heating Oil Reserve </t>
  </si>
  <si>
    <t xml:space="preserve">Severance Tax Exemptions for Natural Gas </t>
  </si>
  <si>
    <t xml:space="preserve">Coalbed Methane Exemption </t>
  </si>
  <si>
    <t xml:space="preserve">Alaska Gasline Inducement Act </t>
  </si>
  <si>
    <t xml:space="preserve">Accelerated Depreciation of Distribution Pipelines </t>
  </si>
  <si>
    <t xml:space="preserve">Sales Tax Exemption for Natural Gas </t>
  </si>
  <si>
    <t xml:space="preserve">Non-Utility Sales of Natural Gas </t>
  </si>
  <si>
    <t xml:space="preserve">Table 25.3. Summary of fossil-fuel support to natural gas – United States </t>
  </si>
  <si>
    <t xml:space="preserve">Support for capital formation </t>
  </si>
  <si>
    <t xml:space="preserve">Partial Expensing for Advanced Mine Safety Equipment </t>
  </si>
  <si>
    <t xml:space="preserve">Excess of Percentage over Cost Depletion </t>
  </si>
  <si>
    <t xml:space="preserve">Consumer Support Estimate </t>
  </si>
  <si>
    <t xml:space="preserve">Consumption </t>
  </si>
  <si>
    <t>Total Coal Consumption</t>
  </si>
  <si>
    <t>Total Coal General Support</t>
  </si>
  <si>
    <t>Total Coal</t>
  </si>
  <si>
    <t>Total Oil Production</t>
  </si>
  <si>
    <t>Total Oil Consumption</t>
  </si>
  <si>
    <t>Total Oil General Support</t>
  </si>
  <si>
    <t>Total Oil</t>
  </si>
  <si>
    <t>Total Gas Production</t>
  </si>
  <si>
    <t>Total Gas Consumption</t>
  </si>
  <si>
    <t>Total Gas General Support</t>
  </si>
  <si>
    <t>Total Gas</t>
  </si>
  <si>
    <t>Total Production</t>
  </si>
  <si>
    <t>Total Consumption</t>
  </si>
  <si>
    <t>Total General Support</t>
  </si>
  <si>
    <t>Norway Fossil Fuel Subsidies (in millions of Norwegian kroner)</t>
    <phoneticPr fontId="8" type="noConversion"/>
  </si>
  <si>
    <t>New Zealand Fossil Fuel Subsidies (in millions of New Zealand dollars)</t>
    <phoneticPr fontId="8" type="noConversion"/>
  </si>
  <si>
    <t>Netherlands Fossil Fuel Subsidies (in millions of Euros)</t>
    <phoneticPr fontId="8" type="noConversion"/>
  </si>
  <si>
    <t>(blanks are n.c.,n.c.,..,..,..)</t>
    <phoneticPr fontId="8" type="noConversion"/>
  </si>
  <si>
    <t>(blanks are n.c.,n.c.,..)</t>
    <phoneticPr fontId="8" type="noConversion"/>
  </si>
  <si>
    <t>(blank is n.a.)</t>
    <phoneticPr fontId="8" type="noConversion"/>
  </si>
  <si>
    <t>(blanks are n.a.)</t>
    <phoneticPr fontId="8" type="noConversion"/>
  </si>
  <si>
    <t>(blanks are n.c.,..,..,..)</t>
    <phoneticPr fontId="8" type="noConversion"/>
  </si>
  <si>
    <t>(blanks are n.a.)</t>
    <phoneticPr fontId="8" type="noConversion"/>
  </si>
  <si>
    <t>(blank is n.c.)</t>
    <phoneticPr fontId="8" type="noConversion"/>
  </si>
  <si>
    <t>(blank is n.a.)</t>
    <phoneticPr fontId="8" type="noConversion"/>
  </si>
  <si>
    <t>(in millions of US dollars)</t>
  </si>
  <si>
    <t>(in millions of US dollars)</t>
    <phoneticPr fontId="8" type="noConversion"/>
  </si>
  <si>
    <t>(in millions of US dollars)</t>
    <phoneticPr fontId="8" type="noConversion"/>
  </si>
  <si>
    <t xml:space="preserve">Temporary Expensing of Equipment for Refining </t>
  </si>
  <si>
    <t xml:space="preserve">Aid to Small Refiners for EPA Capital Costs </t>
  </si>
  <si>
    <t xml:space="preserve">Enhanced Oil Recovery Credit </t>
  </si>
  <si>
    <t xml:space="preserve">Sales Tax Exemption for Oil &amp; Gas Equipment </t>
  </si>
  <si>
    <t xml:space="preserve">Qualified Capital Expenditure Credit </t>
  </si>
  <si>
    <t xml:space="preserve">Alternative Credit for Exploration </t>
  </si>
  <si>
    <t xml:space="preserve">Support for knowledge creation </t>
  </si>
  <si>
    <t xml:space="preserve">Amortisation of Geological Expenditure </t>
  </si>
  <si>
    <t xml:space="preserve">Low-Income Home Energy Assistance Program </t>
  </si>
  <si>
    <t xml:space="preserve">Small Municipality Energy Assistance Program </t>
  </si>
  <si>
    <t xml:space="preserve">Power Cost Equalization </t>
  </si>
  <si>
    <t xml:space="preserve">Alaska Heating Assistance Program </t>
  </si>
  <si>
    <t xml:space="preserve">Gasoline Tax Exemptions </t>
  </si>
  <si>
    <t xml:space="preserve">Fuel Tax Exemptions for Farmers </t>
  </si>
  <si>
    <t xml:space="preserve">both </t>
  </si>
  <si>
    <t xml:space="preserve">Table 25.2. Summary of fossil-fuel support to petroleum – United States </t>
  </si>
  <si>
    <t xml:space="preserve">(Millions of U.S. dollars, nominal) Support element </t>
  </si>
  <si>
    <t xml:space="preserve">Jurisdiction </t>
  </si>
  <si>
    <t xml:space="preserve">Avg 2000-02 </t>
  </si>
  <si>
    <t xml:space="preserve">Avg 2008-10 </t>
  </si>
  <si>
    <t xml:space="preserve">2010p </t>
  </si>
  <si>
    <t xml:space="preserve">Producer Support Estimate </t>
  </si>
  <si>
    <t xml:space="preserve">Support to unit returns </t>
  </si>
  <si>
    <t xml:space="preserve">Alternative Fuels Production Credit </t>
  </si>
  <si>
    <t xml:space="preserve">Federal </t>
  </si>
  <si>
    <t xml:space="preserve">Reduced Tax for Thin-Seamed Coal </t>
  </si>
  <si>
    <t xml:space="preserve">WV </t>
  </si>
  <si>
    <t>(first blank is n.c., second blank is ..)</t>
    <phoneticPr fontId="8" type="noConversion"/>
  </si>
  <si>
    <t>(first blank is n.c., other blanks are ..)</t>
    <phoneticPr fontId="8" type="noConversion"/>
  </si>
  <si>
    <t>(first blank is n.a., other blanks are ..)</t>
    <phoneticPr fontId="8" type="noConversion"/>
  </si>
  <si>
    <t>(first blank is n.c.)</t>
    <phoneticPr fontId="8" type="noConversion"/>
  </si>
  <si>
    <t>(first blank is n.a.)</t>
    <phoneticPr fontId="8" type="noConversion"/>
  </si>
  <si>
    <t>(blank is n.a.)</t>
    <phoneticPr fontId="8" type="noConversion"/>
  </si>
  <si>
    <t>(blank is n.c.)</t>
    <phoneticPr fontId="8" type="noConversion"/>
  </si>
  <si>
    <t>(blank is n.a.)</t>
    <phoneticPr fontId="8" type="noConversion"/>
  </si>
  <si>
    <t>(blanks are n.a.)</t>
  </si>
  <si>
    <t>(blanks are n.a.)</t>
    <phoneticPr fontId="8" type="noConversion"/>
  </si>
  <si>
    <t>(blanks are n.a.)</t>
    <phoneticPr fontId="8" type="noConversion"/>
  </si>
  <si>
    <t>(blank is n.a.)</t>
    <phoneticPr fontId="8" type="noConversion"/>
  </si>
  <si>
    <t>(blanks are n.c.,..,..,..)</t>
    <phoneticPr fontId="8" type="noConversion"/>
  </si>
  <si>
    <t>(blank is n.c.)</t>
    <phoneticPr fontId="8" type="noConversion"/>
  </si>
  <si>
    <t xml:space="preserve">General Services Support Estimate (n.a.) </t>
    <phoneticPr fontId="8" type="noConversion"/>
  </si>
  <si>
    <t>Mexico Fossil Fuel Subsidies (in millions of Mexican pesos)</t>
    <phoneticPr fontId="8" type="noConversion"/>
  </si>
  <si>
    <t>Korea Fossil Fuel Subsidies (in millions of Korean won)</t>
    <phoneticPr fontId="8" type="noConversion"/>
  </si>
  <si>
    <t>Japan Fossil Fuel Subsidies (in millions of Japanese yen)</t>
    <phoneticPr fontId="8" type="noConversion"/>
  </si>
  <si>
    <t>Italy Fossil Fuel Subsidies (in millions of Euros)</t>
    <phoneticPr fontId="8" type="noConversion"/>
  </si>
  <si>
    <t>Source: http://pdf.wri.org/climate_finance_pledges_2011-11-18.pdf</t>
    <phoneticPr fontId="8" type="noConversion"/>
  </si>
  <si>
    <t>Country</t>
    <phoneticPr fontId="8" type="noConversion"/>
  </si>
  <si>
    <t>Pledges 2010-2012</t>
    <phoneticPr fontId="8" type="noConversion"/>
  </si>
  <si>
    <t>Canada Fossil Fuel Subsidies (in millions of Canadian dollars)</t>
    <phoneticPr fontId="8" type="noConversion"/>
  </si>
  <si>
    <t>Belgium Fossil Fuel Subsidies (in millions of Euros)</t>
    <phoneticPr fontId="8" type="noConversion"/>
  </si>
  <si>
    <t>Australia Fossil Fuel Subsidies (in millions of Australian dollars)</t>
    <phoneticPr fontId="8" type="noConversion"/>
  </si>
  <si>
    <t>(first zero is n.c., last 3 zeros are ..)</t>
    <phoneticPr fontId="8" type="noConversion"/>
  </si>
  <si>
    <t>(first two zeros are n.c., last 3 zeros are ..)</t>
    <phoneticPr fontId="8" type="noConversion"/>
  </si>
  <si>
    <t>(zeros are n.a.)</t>
    <phoneticPr fontId="8" type="noConversion"/>
  </si>
  <si>
    <t>(first 2 zeros are n.c., second 3 are ..)</t>
    <phoneticPr fontId="8" type="noConversion"/>
  </si>
  <si>
    <t>(zero is n.a.)</t>
    <phoneticPr fontId="8" type="noConversion"/>
  </si>
  <si>
    <t>(zero is n.a.)</t>
    <phoneticPr fontId="8" type="noConversion"/>
  </si>
  <si>
    <t>(first zero is n.c., second is n.a., last 3 are ..)</t>
    <phoneticPr fontId="8" type="noConversion"/>
  </si>
  <si>
    <t>UK Fossil Fuel Subsidies (in pounds sterling)</t>
    <phoneticPr fontId="8" type="noConversion"/>
  </si>
  <si>
    <t>Turkey Fossil Fuel Subsidies (in Turkish lira)</t>
    <phoneticPr fontId="8" type="noConversion"/>
  </si>
  <si>
    <t>Total Fossi Fuel Subsidies</t>
  </si>
  <si>
    <t>Total Fossi Fuel Subsidies</t>
    <phoneticPr fontId="8" type="noConversion"/>
  </si>
  <si>
    <t>Sweden Fossil Fuel Subsidies (in millions of Swedish kroner)</t>
    <phoneticPr fontId="8" type="noConversion"/>
  </si>
  <si>
    <t>(first zero is n.c.)</t>
    <phoneticPr fontId="8" type="noConversion"/>
  </si>
  <si>
    <t>Spain Fossil Fuel Subsidies (in millions of Euros)</t>
    <phoneticPr fontId="8" type="noConversion"/>
  </si>
  <si>
    <t>Polish Fossil Fuel Subsidies (in millions of Polish zloty)</t>
    <phoneticPr fontId="8" type="noConversion"/>
  </si>
  <si>
    <t>Total Coal Production</t>
  </si>
  <si>
    <t>Belgium</t>
    <phoneticPr fontId="8" type="noConversion"/>
  </si>
  <si>
    <t>Canada</t>
    <phoneticPr fontId="8" type="noConversion"/>
  </si>
  <si>
    <t>France</t>
    <phoneticPr fontId="8" type="noConversion"/>
  </si>
  <si>
    <t>Fast Start Finance Pledges (avg 2010-2012)</t>
    <phoneticPr fontId="8" type="noConversion"/>
  </si>
  <si>
    <t>Italy</t>
    <phoneticPr fontId="8" type="noConversion"/>
  </si>
  <si>
    <t>Fossil Fuel Subsidies (2010)</t>
    <phoneticPr fontId="8" type="noConversion"/>
  </si>
  <si>
    <t>Fossil Fuel Subsidies vs. Climate Finance Pledges (in millions of USD)</t>
    <phoneticPr fontId="8" type="noConversion"/>
  </si>
  <si>
    <t>Liecthenstein</t>
    <phoneticPr fontId="8" type="noConversion"/>
  </si>
  <si>
    <t>Malta</t>
    <phoneticPr fontId="8" type="noConversion"/>
  </si>
  <si>
    <t>Slovenia</t>
    <phoneticPr fontId="8" type="noConversion"/>
  </si>
  <si>
    <t>Annex II not represented: Austria, Greece</t>
    <phoneticPr fontId="8" type="noConversion"/>
  </si>
  <si>
    <t>Italic countries not listed as Annex II</t>
    <phoneticPr fontId="8" type="noConversion"/>
  </si>
  <si>
    <t>Denmark</t>
    <phoneticPr fontId="8" type="noConversion"/>
  </si>
  <si>
    <t>Finland</t>
    <phoneticPr fontId="8" type="noConversion"/>
  </si>
  <si>
    <t>France</t>
    <phoneticPr fontId="8" type="noConversion"/>
  </si>
  <si>
    <t>European Commission</t>
    <phoneticPr fontId="8" type="noConversion"/>
  </si>
  <si>
    <t>Germany</t>
    <phoneticPr fontId="8" type="noConversion"/>
  </si>
  <si>
    <t>Ireland</t>
    <phoneticPr fontId="8" type="noConversion"/>
  </si>
  <si>
    <t>Luxembourg</t>
    <phoneticPr fontId="8" type="noConversion"/>
  </si>
  <si>
    <t>Netherlands</t>
    <phoneticPr fontId="8" type="noConversion"/>
  </si>
  <si>
    <t>Australia</t>
    <phoneticPr fontId="8" type="noConversion"/>
  </si>
  <si>
    <t>Canada</t>
    <phoneticPr fontId="8" type="noConversion"/>
  </si>
  <si>
    <t>Iceland</t>
    <phoneticPr fontId="8" type="noConversion"/>
  </si>
  <si>
    <t>Japan</t>
    <phoneticPr fontId="8" type="noConversion"/>
  </si>
  <si>
    <t>New Zealand</t>
    <phoneticPr fontId="8" type="noConversion"/>
  </si>
  <si>
    <t>Norway</t>
    <phoneticPr fontId="8" type="noConversion"/>
  </si>
  <si>
    <t>Switzerland</t>
    <phoneticPr fontId="8" type="noConversion"/>
  </si>
  <si>
    <t>United States</t>
    <phoneticPr fontId="8" type="noConversion"/>
  </si>
  <si>
    <t>Portugal</t>
    <phoneticPr fontId="8" type="noConversion"/>
  </si>
  <si>
    <t>Spain</t>
    <phoneticPr fontId="8" type="noConversion"/>
  </si>
  <si>
    <t>Sweden</t>
    <phoneticPr fontId="8" type="noConversion"/>
  </si>
  <si>
    <t>United Kingdom</t>
    <phoneticPr fontId="8" type="noConversion"/>
  </si>
  <si>
    <t>Total Subidies, including production, consumption and general (in millions of USD)</t>
    <phoneticPr fontId="8" type="noConversion"/>
  </si>
  <si>
    <t>Climate Finance Pledges (in millions of USD)</t>
    <phoneticPr fontId="8" type="noConversion"/>
  </si>
  <si>
    <t>Average Pledge / Year</t>
    <phoneticPr fontId="8" type="noConversion"/>
  </si>
  <si>
    <t>Additional EU Members</t>
    <phoneticPr fontId="8" type="noConversion"/>
  </si>
  <si>
    <t>Total</t>
    <phoneticPr fontId="8" type="noConversion"/>
  </si>
  <si>
    <t>*Annex II Countries with Fossil Fuel Subsidy and Fast Start Finance Data</t>
    <phoneticPr fontId="8" type="noConversion"/>
  </si>
  <si>
    <t>Country</t>
    <phoneticPr fontId="8" type="noConversion"/>
  </si>
  <si>
    <t>Currency exchange: http://www.x-rates.com for last day of year or last day of last year in range</t>
    <phoneticPr fontId="8" type="noConversion"/>
  </si>
  <si>
    <t>Avg 2000-02 (oanda.com)</t>
    <phoneticPr fontId="8" type="noConversion"/>
  </si>
  <si>
    <t>Source: http://www.oecd.org/site/0,3407,en_21571361_48776931_1_1_1_1_1,00.html#data</t>
    <phoneticPr fontId="8" type="noConversion"/>
  </si>
  <si>
    <t>(first zero is n.c., last zeros are n.a.)</t>
    <phoneticPr fontId="8" type="noConversion"/>
  </si>
  <si>
    <t>(zeros are n.a.)</t>
    <phoneticPr fontId="8" type="noConversion"/>
  </si>
  <si>
    <t>(zero is n.c.)</t>
    <phoneticPr fontId="8" type="noConversion"/>
  </si>
  <si>
    <t>(zeros are n.a.)</t>
    <phoneticPr fontId="8" type="noConversion"/>
  </si>
  <si>
    <t>(zero is n.c.)</t>
    <phoneticPr fontId="8" type="noConversion"/>
  </si>
  <si>
    <t>(blanks are n.c., s,n.a.,n.a.,n.a.)</t>
    <phoneticPr fontId="8" type="noConversion"/>
  </si>
  <si>
    <t>(first blank is n.c.)</t>
  </si>
  <si>
    <t>(first blank is n.c.)</t>
    <phoneticPr fontId="8" type="noConversion"/>
  </si>
  <si>
    <t>(first blank is n.a.)</t>
    <phoneticPr fontId="8" type="noConversion"/>
  </si>
  <si>
    <t xml:space="preserve">Consumption </t>
    <phoneticPr fontId="8" type="noConversion"/>
  </si>
  <si>
    <t>(all n.a..)</t>
    <phoneticPr fontId="8" type="noConversion"/>
  </si>
  <si>
    <t>(first blank is n.c. and then ..)</t>
    <phoneticPr fontId="8" type="noConversion"/>
  </si>
  <si>
    <t>(n.a.,n.c.,..,..,..)</t>
    <phoneticPr fontId="8" type="noConversion"/>
  </si>
  <si>
    <t>(first blank is n.c.)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</si>
</sst>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2"/>
      <name val="Cambria"/>
    </font>
    <font>
      <sz val="12"/>
      <color indexed="8"/>
      <name val="Arial"/>
    </font>
    <font>
      <sz val="9"/>
      <color indexed="8"/>
      <name val="Arial"/>
      <family val="2"/>
    </font>
    <font>
      <i/>
      <sz val="9"/>
      <color indexed="8"/>
      <name val="Arial"/>
    </font>
    <font>
      <b/>
      <sz val="9"/>
      <color indexed="8"/>
      <name val="Arial"/>
      <family val="2"/>
    </font>
    <font>
      <sz val="10"/>
      <color indexed="8"/>
      <name val="Verdana"/>
    </font>
    <font>
      <sz val="10"/>
      <name val="Verdana"/>
    </font>
    <font>
      <b/>
      <sz val="10"/>
      <color indexed="8"/>
      <name val="Verdana"/>
    </font>
    <font>
      <sz val="10"/>
      <name val="Verdana"/>
    </font>
    <font>
      <i/>
      <sz val="10"/>
      <color indexed="8"/>
      <name val="Verdana"/>
    </font>
    <font>
      <sz val="10"/>
      <name val="Verdana"/>
    </font>
    <font>
      <sz val="12"/>
      <name val="Arial"/>
    </font>
    <font>
      <sz val="6"/>
      <color indexed="8"/>
      <name val="Arial"/>
    </font>
    <font>
      <sz val="10"/>
      <color indexed="8"/>
      <name val="Arial"/>
      <family val="2"/>
    </font>
    <font>
      <i/>
      <sz val="10"/>
      <color indexed="8"/>
      <name val="Arial"/>
    </font>
    <font>
      <sz val="10"/>
      <name val="Verdana"/>
    </font>
    <font>
      <sz val="11"/>
      <name val="Times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/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/>
    <xf numFmtId="0" fontId="9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vertical="top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15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Border="1" applyAlignment="1">
      <alignment wrapText="1"/>
    </xf>
    <xf numFmtId="0" fontId="0" fillId="0" borderId="0" xfId="0" applyAlignment="1"/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/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4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/>
    <xf numFmtId="0" fontId="4" fillId="0" borderId="0" xfId="0" applyFont="1" applyAlignment="1"/>
    <xf numFmtId="0" fontId="22" fillId="0" borderId="0" xfId="0" applyFont="1" applyAlignment="1">
      <alignment vertical="top"/>
    </xf>
    <xf numFmtId="0" fontId="15" fillId="0" borderId="0" xfId="0" applyFont="1" applyAlignment="1"/>
    <xf numFmtId="0" fontId="6" fillId="0" borderId="0" xfId="0" applyFont="1" applyAlignment="1"/>
    <xf numFmtId="0" fontId="13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1" fillId="0" borderId="0" xfId="0" applyFont="1" applyBorder="1" applyAlignment="1"/>
    <xf numFmtId="4" fontId="4" fillId="0" borderId="0" xfId="0" applyNumberFormat="1" applyFont="1" applyAlignment="1"/>
    <xf numFmtId="4" fontId="5" fillId="0" borderId="0" xfId="0" applyNumberFormat="1" applyFont="1" applyAlignment="1"/>
    <xf numFmtId="4" fontId="24" fillId="0" borderId="0" xfId="0" applyNumberFormat="1" applyFont="1" applyAlignment="1"/>
    <xf numFmtId="0" fontId="22" fillId="0" borderId="0" xfId="0" applyNumberFormat="1" applyFont="1" applyAlignment="1">
      <alignment vertical="top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4" fontId="22" fillId="0" borderId="0" xfId="0" applyNumberFormat="1" applyFont="1" applyAlignment="1">
      <alignment vertical="top" wrapText="1"/>
    </xf>
    <xf numFmtId="4" fontId="0" fillId="0" borderId="0" xfId="0" applyNumberFormat="1"/>
    <xf numFmtId="4" fontId="0" fillId="0" borderId="0" xfId="0" applyNumberFormat="1"/>
    <xf numFmtId="3" fontId="0" fillId="0" borderId="0" xfId="0" applyNumberFormat="1"/>
    <xf numFmtId="3" fontId="15" fillId="0" borderId="0" xfId="0" applyNumberFormat="1" applyFont="1"/>
    <xf numFmtId="4" fontId="11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0" fillId="2" borderId="0" xfId="0" applyNumberFormat="1" applyFill="1"/>
    <xf numFmtId="4" fontId="3" fillId="2" borderId="0" xfId="0" applyNumberFormat="1" applyFont="1" applyFill="1"/>
    <xf numFmtId="4" fontId="0" fillId="0" borderId="0" xfId="0" applyNumberFormat="1" applyFill="1"/>
    <xf numFmtId="0" fontId="1" fillId="0" borderId="0" xfId="0" applyFont="1"/>
    <xf numFmtId="3" fontId="0" fillId="0" borderId="0" xfId="0" applyNumberFormat="1"/>
    <xf numFmtId="0" fontId="25" fillId="0" borderId="0" xfId="0" applyFont="1"/>
    <xf numFmtId="4" fontId="2" fillId="0" borderId="0" xfId="0" applyNumberFormat="1" applyFont="1"/>
    <xf numFmtId="0" fontId="1" fillId="0" borderId="0" xfId="0" applyFont="1" applyAlignment="1"/>
    <xf numFmtId="0" fontId="0" fillId="0" borderId="0" xfId="0" applyAlignme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4" fillId="0" borderId="0" xfId="0" applyFont="1"/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'Chart FSF FFS'!$B$2</c:f>
              <c:strCache>
                <c:ptCount val="1"/>
                <c:pt idx="0">
                  <c:v>Fast Start Finance Pledges (avg 2010-2012)</c:v>
                </c:pt>
              </c:strCache>
            </c:strRef>
          </c:tx>
          <c:invertIfNegative val="0"/>
          <c:cat>
            <c:strRef>
              <c:f>'Chart FSF FFS'!$A$3:$A$18</c:f>
              <c:strCache>
                <c:ptCount val="16"/>
                <c:pt idx="0">
                  <c:v>Australia </c:v>
                </c:pt>
                <c:pt idx="1">
                  <c:v>Belgium</c:v>
                </c:pt>
                <c:pt idx="2">
                  <c:v>Canada</c:v>
                </c:pt>
                <c:pt idx="3">
                  <c:v>France</c:v>
                </c:pt>
                <c:pt idx="4">
                  <c:v>Germany </c:v>
                </c:pt>
                <c:pt idx="5">
                  <c:v>Iceland </c:v>
                </c:pt>
                <c:pt idx="6">
                  <c:v>Ireland </c:v>
                </c:pt>
                <c:pt idx="7">
                  <c:v>Italy </c:v>
                </c:pt>
                <c:pt idx="8">
                  <c:v>Japan </c:v>
                </c:pt>
                <c:pt idx="9">
                  <c:v>Netherlands </c:v>
                </c:pt>
                <c:pt idx="10">
                  <c:v>New Zealand </c:v>
                </c:pt>
                <c:pt idx="11">
                  <c:v>Norway 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United States</c:v>
                </c:pt>
              </c:strCache>
            </c:strRef>
          </c:cat>
          <c:val>
            <c:numRef>
              <c:f>'Chart FSF FFS'!$B$3:$B$18</c:f>
              <c:numCache>
                <c:formatCode>#,##0</c:formatCode>
                <c:ptCount val="16"/>
                <c:pt idx="0">
                  <c:v>213.6666666666667</c:v>
                </c:pt>
                <c:pt idx="1">
                  <c:v>71.33333333333333</c:v>
                </c:pt>
                <c:pt idx="2">
                  <c:v>136.3333333333333</c:v>
                </c:pt>
                <c:pt idx="3">
                  <c:v>600.0</c:v>
                </c:pt>
                <c:pt idx="4">
                  <c:v>600.0</c:v>
                </c:pt>
                <c:pt idx="5">
                  <c:v>0.333333333333333</c:v>
                </c:pt>
                <c:pt idx="6">
                  <c:v>47.66666666666666</c:v>
                </c:pt>
                <c:pt idx="7">
                  <c:v>0.0</c:v>
                </c:pt>
                <c:pt idx="8">
                  <c:v>5000.0</c:v>
                </c:pt>
                <c:pt idx="9">
                  <c:v>147.6666666666667</c:v>
                </c:pt>
                <c:pt idx="10">
                  <c:v>24.66666666666667</c:v>
                </c:pt>
                <c:pt idx="11">
                  <c:v>333.3333333333333</c:v>
                </c:pt>
                <c:pt idx="12">
                  <c:v>178.6666666666667</c:v>
                </c:pt>
                <c:pt idx="13">
                  <c:v>381.0</c:v>
                </c:pt>
                <c:pt idx="14">
                  <c:v>823.6666666666666</c:v>
                </c:pt>
                <c:pt idx="15">
                  <c:v>568.0</c:v>
                </c:pt>
              </c:numCache>
            </c:numRef>
          </c:val>
        </c:ser>
        <c:ser>
          <c:idx val="1"/>
          <c:order val="1"/>
          <c:tx>
            <c:strRef>
              <c:f>'Chart FSF FFS'!$C$2</c:f>
              <c:strCache>
                <c:ptCount val="1"/>
                <c:pt idx="0">
                  <c:v>Fossil Fuel Subsidies (2010)</c:v>
                </c:pt>
              </c:strCache>
            </c:strRef>
          </c:tx>
          <c:invertIfNegative val="0"/>
          <c:cat>
            <c:strRef>
              <c:f>'Chart FSF FFS'!$A$3:$A$18</c:f>
              <c:strCache>
                <c:ptCount val="16"/>
                <c:pt idx="0">
                  <c:v>Australia </c:v>
                </c:pt>
                <c:pt idx="1">
                  <c:v>Belgium</c:v>
                </c:pt>
                <c:pt idx="2">
                  <c:v>Canada</c:v>
                </c:pt>
                <c:pt idx="3">
                  <c:v>France</c:v>
                </c:pt>
                <c:pt idx="4">
                  <c:v>Germany </c:v>
                </c:pt>
                <c:pt idx="5">
                  <c:v>Iceland </c:v>
                </c:pt>
                <c:pt idx="6">
                  <c:v>Ireland </c:v>
                </c:pt>
                <c:pt idx="7">
                  <c:v>Italy </c:v>
                </c:pt>
                <c:pt idx="8">
                  <c:v>Japan </c:v>
                </c:pt>
                <c:pt idx="9">
                  <c:v>Netherlands </c:v>
                </c:pt>
                <c:pt idx="10">
                  <c:v>New Zealand </c:v>
                </c:pt>
                <c:pt idx="11">
                  <c:v>Norway 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United States</c:v>
                </c:pt>
              </c:strCache>
            </c:strRef>
          </c:cat>
          <c:val>
            <c:numRef>
              <c:f>'Chart FSF FFS'!$C$3:$C$18</c:f>
              <c:numCache>
                <c:formatCode>#,##0</c:formatCode>
                <c:ptCount val="16"/>
                <c:pt idx="0">
                  <c:v>7356.3101385</c:v>
                </c:pt>
                <c:pt idx="1">
                  <c:v>2286.425268</c:v>
                </c:pt>
                <c:pt idx="2">
                  <c:v>2025.819279999999</c:v>
                </c:pt>
                <c:pt idx="3">
                  <c:v>3463.564020000001</c:v>
                </c:pt>
                <c:pt idx="4">
                  <c:v>10376.074032</c:v>
                </c:pt>
                <c:pt idx="5">
                  <c:v>0.0</c:v>
                </c:pt>
                <c:pt idx="6">
                  <c:v>606.515396</c:v>
                </c:pt>
                <c:pt idx="7">
                  <c:v>2051.60148</c:v>
                </c:pt>
                <c:pt idx="8">
                  <c:v>416.088444096</c:v>
                </c:pt>
                <c:pt idx="9">
                  <c:v>471.665238</c:v>
                </c:pt>
                <c:pt idx="10">
                  <c:v>40.82409810000001</c:v>
                </c:pt>
                <c:pt idx="11">
                  <c:v>953.07377108</c:v>
                </c:pt>
                <c:pt idx="12">
                  <c:v>3547.183416</c:v>
                </c:pt>
                <c:pt idx="13">
                  <c:v>3335.47044</c:v>
                </c:pt>
                <c:pt idx="14">
                  <c:v>5646.419877300001</c:v>
                </c:pt>
                <c:pt idx="15">
                  <c:v>15087.32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451960"/>
        <c:axId val="126454936"/>
        <c:axId val="0"/>
      </c:bar3DChart>
      <c:catAx>
        <c:axId val="126451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54936"/>
        <c:crosses val="autoZero"/>
        <c:auto val="1"/>
        <c:lblAlgn val="ctr"/>
        <c:lblOffset val="100"/>
        <c:noMultiLvlLbl val="0"/>
      </c:catAx>
      <c:valAx>
        <c:axId val="126454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6451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19</xdr:row>
      <xdr:rowOff>114300</xdr:rowOff>
    </xdr:from>
    <xdr:to>
      <xdr:col>2</xdr:col>
      <xdr:colOff>2578100</xdr:colOff>
      <xdr:row>47</xdr:row>
      <xdr:rowOff>25400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B3" workbookViewId="0">
      <selection activeCell="D11" sqref="D11"/>
    </sheetView>
  </sheetViews>
  <sheetFormatPr baseColWidth="10" defaultRowHeight="13" x14ac:dyDescent="0"/>
  <cols>
    <col min="1" max="1" width="25" customWidth="1"/>
    <col min="2" max="2" width="36.85546875" bestFit="1" customWidth="1"/>
    <col min="3" max="3" width="33" bestFit="1" customWidth="1"/>
  </cols>
  <sheetData>
    <row r="1" spans="1:4">
      <c r="A1" s="70" t="s">
        <v>538</v>
      </c>
      <c r="B1" s="71"/>
      <c r="C1" s="71"/>
    </row>
    <row r="2" spans="1:4">
      <c r="A2" s="66" t="s">
        <v>570</v>
      </c>
      <c r="B2" s="66" t="s">
        <v>535</v>
      </c>
      <c r="C2" s="66" t="s">
        <v>537</v>
      </c>
    </row>
    <row r="3" spans="1:4">
      <c r="A3" t="str">
        <f>Totals!A6</f>
        <v xml:space="preserve">Australia </v>
      </c>
      <c r="B3" s="67">
        <f>Totals!J6</f>
        <v>213.66666666666666</v>
      </c>
      <c r="C3" s="67">
        <f>Totals!F6</f>
        <v>7356.3101384999991</v>
      </c>
      <c r="D3">
        <f>C3/B3</f>
        <v>34.428908604524182</v>
      </c>
    </row>
    <row r="4" spans="1:4">
      <c r="A4" t="str">
        <f>Totals!A7</f>
        <v>Belgium</v>
      </c>
      <c r="B4" s="67">
        <f>Totals!J7</f>
        <v>71.333333333333329</v>
      </c>
      <c r="C4" s="67">
        <f>Totals!F7</f>
        <v>2286.425268</v>
      </c>
      <c r="D4">
        <f t="shared" ref="D4:D19" si="0">C4/B4</f>
        <v>32.052690672897199</v>
      </c>
    </row>
    <row r="5" spans="1:4">
      <c r="A5" t="str">
        <f>Totals!A8</f>
        <v>Canada</v>
      </c>
      <c r="B5" s="67">
        <f>Totals!J8</f>
        <v>136.33333333333334</v>
      </c>
      <c r="C5" s="67">
        <f>Totals!F8</f>
        <v>2025.8192799999995</v>
      </c>
      <c r="D5">
        <f t="shared" si="0"/>
        <v>14.859310122249385</v>
      </c>
    </row>
    <row r="6" spans="1:4">
      <c r="A6" t="str">
        <f>Totals!A13</f>
        <v>France</v>
      </c>
      <c r="B6" s="67">
        <f>Totals!J13</f>
        <v>600</v>
      </c>
      <c r="C6" s="67">
        <f>Totals!F13</f>
        <v>3463.5640200000007</v>
      </c>
      <c r="D6">
        <f t="shared" si="0"/>
        <v>5.7726067000000008</v>
      </c>
    </row>
    <row r="7" spans="1:4">
      <c r="A7" t="str">
        <f>Totals!A14</f>
        <v xml:space="preserve">Germany </v>
      </c>
      <c r="B7" s="67">
        <f>Totals!J14</f>
        <v>600</v>
      </c>
      <c r="C7" s="67">
        <f>Totals!F14</f>
        <v>10376.074032</v>
      </c>
      <c r="D7">
        <f t="shared" si="0"/>
        <v>17.293456720000002</v>
      </c>
    </row>
    <row r="8" spans="1:4">
      <c r="A8" t="str">
        <f>Totals!A16</f>
        <v xml:space="preserve">Iceland </v>
      </c>
      <c r="B8" s="67">
        <f>Totals!J16</f>
        <v>0.33333333333333331</v>
      </c>
      <c r="C8" s="67">
        <f>Totals!F16</f>
        <v>0</v>
      </c>
      <c r="D8">
        <f t="shared" si="0"/>
        <v>0</v>
      </c>
    </row>
    <row r="9" spans="1:4">
      <c r="A9" t="str">
        <f>Totals!A17</f>
        <v xml:space="preserve">Ireland </v>
      </c>
      <c r="B9" s="67">
        <f>Totals!J17</f>
        <v>47.666666666666664</v>
      </c>
      <c r="C9" s="67">
        <f>Totals!F18</f>
        <v>606.51539600000001</v>
      </c>
      <c r="D9">
        <f t="shared" si="0"/>
        <v>12.724099216783218</v>
      </c>
    </row>
    <row r="10" spans="1:4">
      <c r="A10" t="str">
        <f>Totals!A19</f>
        <v xml:space="preserve">Italy </v>
      </c>
      <c r="B10" s="67">
        <f>Totals!J19</f>
        <v>0</v>
      </c>
      <c r="C10" s="67">
        <f>Totals!F19</f>
        <v>2051.6014799999998</v>
      </c>
      <c r="D10" t="e">
        <f>C10/B10</f>
        <v>#DIV/0!</v>
      </c>
    </row>
    <row r="11" spans="1:4">
      <c r="A11" t="str">
        <f>Totals!A20</f>
        <v xml:space="preserve">Japan </v>
      </c>
      <c r="B11" s="67">
        <f>Totals!J20</f>
        <v>5000</v>
      </c>
      <c r="C11" s="67">
        <f>Totals!F20</f>
        <v>416.08844409599999</v>
      </c>
      <c r="D11">
        <f t="shared" si="0"/>
        <v>8.3217688819199997E-2</v>
      </c>
    </row>
    <row r="12" spans="1:4">
      <c r="A12" t="str">
        <f>Totals!A26</f>
        <v xml:space="preserve">Netherlands </v>
      </c>
      <c r="B12" s="67">
        <f>Totals!J26</f>
        <v>147.66666666666666</v>
      </c>
      <c r="C12" s="67">
        <f>Totals!F26</f>
        <v>471.66523800000004</v>
      </c>
      <c r="D12">
        <f t="shared" si="0"/>
        <v>3.1941212505643346</v>
      </c>
    </row>
    <row r="13" spans="1:4">
      <c r="A13" t="str">
        <f>Totals!A27</f>
        <v xml:space="preserve">New Zealand </v>
      </c>
      <c r="B13" s="67">
        <f>Totals!J27</f>
        <v>24.666666666666668</v>
      </c>
      <c r="C13" s="67">
        <f>Totals!F27</f>
        <v>40.824098100000008</v>
      </c>
      <c r="D13">
        <f t="shared" si="0"/>
        <v>1.6550310040540543</v>
      </c>
    </row>
    <row r="14" spans="1:4">
      <c r="A14" t="str">
        <f>Totals!A28</f>
        <v xml:space="preserve">Norway </v>
      </c>
      <c r="B14" s="67">
        <f>Totals!J28</f>
        <v>333.33333333333331</v>
      </c>
      <c r="C14" s="67">
        <f>Totals!F28</f>
        <v>953.07377107999991</v>
      </c>
      <c r="D14">
        <f t="shared" si="0"/>
        <v>2.85922131324</v>
      </c>
    </row>
    <row r="15" spans="1:4">
      <c r="A15" t="str">
        <f>Totals!A32</f>
        <v>Spain</v>
      </c>
      <c r="B15" s="67">
        <f>Totals!J32</f>
        <v>178.66666666666666</v>
      </c>
      <c r="C15" s="67">
        <f>Totals!F32</f>
        <v>3547.1834159999999</v>
      </c>
      <c r="D15">
        <f t="shared" si="0"/>
        <v>19.85363852238806</v>
      </c>
    </row>
    <row r="16" spans="1:4">
      <c r="A16" t="str">
        <f>Totals!A33</f>
        <v>Sweden</v>
      </c>
      <c r="B16" s="67">
        <f>Totals!J33</f>
        <v>381</v>
      </c>
      <c r="C16" s="67">
        <f>Totals!F33</f>
        <v>3335.4704399999996</v>
      </c>
      <c r="D16">
        <f t="shared" si="0"/>
        <v>8.7545155905511809</v>
      </c>
    </row>
    <row r="17" spans="1:4">
      <c r="A17" t="str">
        <f>Totals!A36</f>
        <v>United Kingdom</v>
      </c>
      <c r="B17" s="67">
        <f>Totals!J36</f>
        <v>823.66666666666663</v>
      </c>
      <c r="C17" s="67">
        <f>Totals!F36</f>
        <v>5646.4198773000007</v>
      </c>
      <c r="D17">
        <f t="shared" si="0"/>
        <v>6.8552244564548781</v>
      </c>
    </row>
    <row r="18" spans="1:4">
      <c r="A18" t="str">
        <f>Totals!A37</f>
        <v>United States</v>
      </c>
      <c r="B18" s="67">
        <f>Totals!J37</f>
        <v>568</v>
      </c>
      <c r="C18" s="67">
        <f>Totals!F37</f>
        <v>15087.32</v>
      </c>
      <c r="D18">
        <f t="shared" si="0"/>
        <v>26.56218309859155</v>
      </c>
    </row>
    <row r="19" spans="1:4">
      <c r="B19" s="67">
        <f>SUM(B3:B18)</f>
        <v>9126.3333333333339</v>
      </c>
      <c r="C19" s="67">
        <f>SUM(C3:C18)</f>
        <v>57664.354899076003</v>
      </c>
      <c r="D19">
        <f t="shared" si="0"/>
        <v>6.3184581137816576</v>
      </c>
    </row>
  </sheetData>
  <mergeCells count="1">
    <mergeCell ref="A1:C1"/>
  </mergeCells>
  <phoneticPr fontId="8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>
    <row r="1" spans="1:1">
      <c r="A1" s="5" t="s">
        <v>208</v>
      </c>
    </row>
  </sheetData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3" sqref="I3:M21"/>
    </sheetView>
  </sheetViews>
  <sheetFormatPr baseColWidth="10" defaultRowHeight="13" x14ac:dyDescent="0"/>
  <cols>
    <col min="1" max="1" width="29.5703125" customWidth="1"/>
    <col min="8" max="8" width="12.5703125" customWidth="1"/>
  </cols>
  <sheetData>
    <row r="1" spans="1:13">
      <c r="A1" s="26" t="s">
        <v>408</v>
      </c>
      <c r="I1" s="74" t="s">
        <v>461</v>
      </c>
      <c r="J1" s="74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C3">
        <f>C29</f>
        <v>0</v>
      </c>
      <c r="D3">
        <f t="shared" ref="D3:G3" si="0">D29</f>
        <v>46.72</v>
      </c>
      <c r="E3">
        <f t="shared" si="0"/>
        <v>46.64</v>
      </c>
      <c r="F3">
        <f t="shared" si="0"/>
        <v>0</v>
      </c>
      <c r="G3">
        <f t="shared" si="0"/>
        <v>93.52</v>
      </c>
      <c r="I3" s="41">
        <f>C3*1.0485</f>
        <v>0</v>
      </c>
      <c r="J3" s="41">
        <f>D3*1.3362</f>
        <v>62.427264000000001</v>
      </c>
      <c r="K3" s="41">
        <f>E3*1.3919</f>
        <v>64.918216000000001</v>
      </c>
      <c r="L3" s="41">
        <f>F3*1.4406</f>
        <v>0</v>
      </c>
      <c r="M3" s="41">
        <f>G3*1.3362</f>
        <v>124.96142399999999</v>
      </c>
    </row>
    <row r="4" spans="1:13">
      <c r="A4" t="s">
        <v>436</v>
      </c>
      <c r="I4" s="41">
        <f t="shared" ref="I4:I21" si="1">C4*1.0485</f>
        <v>0</v>
      </c>
      <c r="J4" s="41">
        <f t="shared" ref="J4:J21" si="2">D4*1.3362</f>
        <v>0</v>
      </c>
      <c r="K4" s="41">
        <f t="shared" ref="K4:K6" si="3">E4*1.3919</f>
        <v>0</v>
      </c>
      <c r="L4" s="41">
        <f t="shared" ref="L4:L6" si="4">F4*1.4406</f>
        <v>0</v>
      </c>
      <c r="M4" s="41">
        <f t="shared" ref="M4:M21" si="5">G4*1.3362</f>
        <v>0</v>
      </c>
    </row>
    <row r="5" spans="1:13">
      <c r="A5" t="s">
        <v>437</v>
      </c>
      <c r="I5" s="41">
        <f t="shared" si="1"/>
        <v>0</v>
      </c>
      <c r="J5" s="41">
        <f t="shared" si="2"/>
        <v>0</v>
      </c>
      <c r="K5" s="41">
        <f t="shared" si="3"/>
        <v>0</v>
      </c>
      <c r="L5" s="41">
        <f t="shared" si="4"/>
        <v>0</v>
      </c>
      <c r="M5" s="41">
        <f t="shared" si="5"/>
        <v>0</v>
      </c>
    </row>
    <row r="6" spans="1:13">
      <c r="A6" t="s">
        <v>438</v>
      </c>
      <c r="C6">
        <f>SUM(C3:C5)</f>
        <v>0</v>
      </c>
      <c r="D6">
        <f t="shared" ref="D6:G6" si="6">SUM(D3:D5)</f>
        <v>46.72</v>
      </c>
      <c r="E6">
        <f t="shared" si="6"/>
        <v>46.64</v>
      </c>
      <c r="F6">
        <f t="shared" si="6"/>
        <v>0</v>
      </c>
      <c r="G6">
        <f t="shared" si="6"/>
        <v>93.52</v>
      </c>
      <c r="I6" s="41">
        <f t="shared" si="1"/>
        <v>0</v>
      </c>
      <c r="J6" s="41">
        <f t="shared" si="2"/>
        <v>62.427264000000001</v>
      </c>
      <c r="K6" s="41">
        <f t="shared" si="3"/>
        <v>64.918216000000001</v>
      </c>
      <c r="L6" s="41">
        <f t="shared" si="4"/>
        <v>0</v>
      </c>
      <c r="M6" s="41">
        <f t="shared" si="5"/>
        <v>124.96142399999999</v>
      </c>
    </row>
    <row r="7" spans="1:13">
      <c r="I7" s="41"/>
      <c r="J7" s="41"/>
      <c r="K7" s="41"/>
      <c r="L7" s="41"/>
      <c r="M7" s="41"/>
    </row>
    <row r="8" spans="1:13">
      <c r="A8" t="s">
        <v>439</v>
      </c>
      <c r="I8" s="41">
        <f t="shared" si="1"/>
        <v>0</v>
      </c>
      <c r="J8" s="41">
        <f t="shared" si="2"/>
        <v>0</v>
      </c>
      <c r="K8" s="41">
        <f>E8*1.3919</f>
        <v>0</v>
      </c>
      <c r="L8" s="41">
        <f>F8*1.4406</f>
        <v>0</v>
      </c>
      <c r="M8" s="41">
        <f t="shared" si="5"/>
        <v>0</v>
      </c>
    </row>
    <row r="9" spans="1:13">
      <c r="A9" t="s">
        <v>440</v>
      </c>
      <c r="I9" s="41">
        <f t="shared" si="1"/>
        <v>0</v>
      </c>
      <c r="J9" s="41">
        <f t="shared" si="2"/>
        <v>0</v>
      </c>
      <c r="K9" s="41">
        <f t="shared" ref="K9:K11" si="7">E9*1.3919</f>
        <v>0</v>
      </c>
      <c r="L9" s="41">
        <f t="shared" ref="L9:L11" si="8">F9*1.4406</f>
        <v>0</v>
      </c>
      <c r="M9" s="41">
        <f t="shared" si="5"/>
        <v>0</v>
      </c>
    </row>
    <row r="10" spans="1:13">
      <c r="A10" t="s">
        <v>441</v>
      </c>
      <c r="I10" s="41">
        <f t="shared" si="1"/>
        <v>0</v>
      </c>
      <c r="J10" s="41">
        <f t="shared" si="2"/>
        <v>0</v>
      </c>
      <c r="K10" s="41">
        <f t="shared" si="7"/>
        <v>0</v>
      </c>
      <c r="L10" s="41">
        <f t="shared" si="8"/>
        <v>0</v>
      </c>
      <c r="M10" s="41">
        <f t="shared" si="5"/>
        <v>0</v>
      </c>
    </row>
    <row r="11" spans="1:13">
      <c r="A11" t="s">
        <v>442</v>
      </c>
      <c r="C11">
        <f>SUM(C8:C10)</f>
        <v>0</v>
      </c>
      <c r="D11">
        <f t="shared" ref="D11:G11" si="9">SUM(D8:D10)</f>
        <v>0</v>
      </c>
      <c r="E11">
        <f t="shared" si="9"/>
        <v>0</v>
      </c>
      <c r="F11">
        <f t="shared" si="9"/>
        <v>0</v>
      </c>
      <c r="G11">
        <f t="shared" si="9"/>
        <v>0</v>
      </c>
      <c r="I11" s="41">
        <f t="shared" si="1"/>
        <v>0</v>
      </c>
      <c r="J11" s="41">
        <f t="shared" si="2"/>
        <v>0</v>
      </c>
      <c r="K11" s="41">
        <f t="shared" si="7"/>
        <v>0</v>
      </c>
      <c r="L11" s="41">
        <f t="shared" si="8"/>
        <v>0</v>
      </c>
      <c r="M11" s="41">
        <f t="shared" si="5"/>
        <v>0</v>
      </c>
    </row>
    <row r="12" spans="1:13">
      <c r="I12" s="41"/>
      <c r="J12" s="41"/>
      <c r="K12" s="41"/>
      <c r="L12" s="41"/>
      <c r="M12" s="41"/>
    </row>
    <row r="13" spans="1:13">
      <c r="A13" t="s">
        <v>443</v>
      </c>
      <c r="I13" s="41">
        <f t="shared" si="1"/>
        <v>0</v>
      </c>
      <c r="J13" s="41">
        <f t="shared" si="2"/>
        <v>0</v>
      </c>
      <c r="K13" s="41">
        <f>E13*1.3919</f>
        <v>0</v>
      </c>
      <c r="L13" s="41">
        <f>F13*1.4406</f>
        <v>0</v>
      </c>
      <c r="M13" s="41">
        <f t="shared" si="5"/>
        <v>0</v>
      </c>
    </row>
    <row r="14" spans="1:13">
      <c r="A14" t="s">
        <v>444</v>
      </c>
      <c r="I14" s="41">
        <f t="shared" si="1"/>
        <v>0</v>
      </c>
      <c r="J14" s="41">
        <f t="shared" si="2"/>
        <v>0</v>
      </c>
      <c r="K14" s="41">
        <f t="shared" ref="K14:K16" si="10">E14*1.3919</f>
        <v>0</v>
      </c>
      <c r="L14" s="41">
        <f t="shared" ref="L14:L16" si="11">F14*1.4406</f>
        <v>0</v>
      </c>
      <c r="M14" s="41">
        <f t="shared" si="5"/>
        <v>0</v>
      </c>
    </row>
    <row r="15" spans="1:13">
      <c r="A15" t="s">
        <v>445</v>
      </c>
      <c r="I15" s="41">
        <f t="shared" si="1"/>
        <v>0</v>
      </c>
      <c r="J15" s="41">
        <f t="shared" si="2"/>
        <v>0</v>
      </c>
      <c r="K15" s="41">
        <f t="shared" si="10"/>
        <v>0</v>
      </c>
      <c r="L15" s="41">
        <f t="shared" si="11"/>
        <v>0</v>
      </c>
      <c r="M15" s="41">
        <f t="shared" si="5"/>
        <v>0</v>
      </c>
    </row>
    <row r="16" spans="1:13">
      <c r="A16" t="s">
        <v>446</v>
      </c>
      <c r="C16">
        <f>SUM(C13:C15)</f>
        <v>0</v>
      </c>
      <c r="D16">
        <f t="shared" ref="D16:G16" si="12">SUM(D13:D15)</f>
        <v>0</v>
      </c>
      <c r="E16">
        <f t="shared" si="12"/>
        <v>0</v>
      </c>
      <c r="F16">
        <f t="shared" si="12"/>
        <v>0</v>
      </c>
      <c r="G16">
        <f t="shared" si="12"/>
        <v>0</v>
      </c>
      <c r="I16" s="41">
        <f t="shared" si="1"/>
        <v>0</v>
      </c>
      <c r="J16" s="41">
        <f t="shared" si="2"/>
        <v>0</v>
      </c>
      <c r="K16" s="41">
        <f t="shared" si="10"/>
        <v>0</v>
      </c>
      <c r="L16" s="41">
        <f t="shared" si="11"/>
        <v>0</v>
      </c>
      <c r="M16" s="41">
        <f t="shared" si="5"/>
        <v>0</v>
      </c>
    </row>
    <row r="17" spans="1:13">
      <c r="I17" s="41"/>
      <c r="J17" s="41"/>
      <c r="K17" s="41"/>
      <c r="L17" s="41"/>
      <c r="M17" s="41"/>
    </row>
    <row r="18" spans="1:13">
      <c r="A18" t="s">
        <v>447</v>
      </c>
      <c r="C18" s="8">
        <f>C3+C8+C13</f>
        <v>0</v>
      </c>
      <c r="D18" s="8">
        <f>D3+D8+D13</f>
        <v>46.72</v>
      </c>
      <c r="E18" s="8">
        <f t="shared" ref="D18:G20" si="13">E3+E8+E13</f>
        <v>46.64</v>
      </c>
      <c r="F18" s="8">
        <f t="shared" si="13"/>
        <v>0</v>
      </c>
      <c r="G18" s="8">
        <f>G3+G8+G13</f>
        <v>93.52</v>
      </c>
      <c r="I18" s="41">
        <f t="shared" si="1"/>
        <v>0</v>
      </c>
      <c r="J18" s="41">
        <f t="shared" si="2"/>
        <v>62.427264000000001</v>
      </c>
      <c r="K18" s="41">
        <f>E18*1.3919</f>
        <v>64.918216000000001</v>
      </c>
      <c r="L18" s="41">
        <f>F18*1.4406</f>
        <v>0</v>
      </c>
      <c r="M18" s="41">
        <f t="shared" si="5"/>
        <v>124.96142399999999</v>
      </c>
    </row>
    <row r="19" spans="1:13">
      <c r="A19" t="s">
        <v>448</v>
      </c>
      <c r="C19" s="8">
        <f>C4+C9+C14</f>
        <v>0</v>
      </c>
      <c r="D19" s="8">
        <f>D4+D9+D14</f>
        <v>0</v>
      </c>
      <c r="E19" s="8">
        <f t="shared" si="13"/>
        <v>0</v>
      </c>
      <c r="F19" s="8">
        <f t="shared" si="13"/>
        <v>0</v>
      </c>
      <c r="G19" s="8">
        <f>G4+G9+G14</f>
        <v>0</v>
      </c>
      <c r="I19" s="41">
        <f t="shared" si="1"/>
        <v>0</v>
      </c>
      <c r="J19" s="41">
        <f t="shared" si="2"/>
        <v>0</v>
      </c>
      <c r="K19" s="41">
        <f t="shared" ref="K19:K21" si="14">E19*1.3919</f>
        <v>0</v>
      </c>
      <c r="L19" s="41">
        <f t="shared" ref="L19:L21" si="15">F19*1.4406</f>
        <v>0</v>
      </c>
      <c r="M19" s="41">
        <f t="shared" si="5"/>
        <v>0</v>
      </c>
    </row>
    <row r="20" spans="1:13">
      <c r="A20" t="s">
        <v>449</v>
      </c>
      <c r="C20" s="8">
        <f>C5+C10+C15</f>
        <v>0</v>
      </c>
      <c r="D20" s="8">
        <f t="shared" si="13"/>
        <v>0</v>
      </c>
      <c r="E20" s="8">
        <f t="shared" si="13"/>
        <v>0</v>
      </c>
      <c r="F20" s="8">
        <f t="shared" si="13"/>
        <v>0</v>
      </c>
      <c r="G20" s="8">
        <f t="shared" si="13"/>
        <v>0</v>
      </c>
      <c r="I20" s="41">
        <f t="shared" si="1"/>
        <v>0</v>
      </c>
      <c r="J20" s="41">
        <f t="shared" si="2"/>
        <v>0</v>
      </c>
      <c r="K20" s="41">
        <f t="shared" si="14"/>
        <v>0</v>
      </c>
      <c r="L20" s="41">
        <f t="shared" si="15"/>
        <v>0</v>
      </c>
      <c r="M20" s="41">
        <f t="shared" si="5"/>
        <v>0</v>
      </c>
    </row>
    <row r="21" spans="1:13">
      <c r="A21" t="s">
        <v>525</v>
      </c>
      <c r="C21" s="8">
        <f>SUM(C18:C20)</f>
        <v>0</v>
      </c>
      <c r="D21" s="8">
        <f t="shared" ref="D21:F21" si="16">SUM(D18:D20)</f>
        <v>46.72</v>
      </c>
      <c r="E21" s="8">
        <f t="shared" si="16"/>
        <v>46.64</v>
      </c>
      <c r="F21" s="8">
        <f t="shared" si="16"/>
        <v>0</v>
      </c>
      <c r="G21" s="8">
        <f>SUM(G18:G20)</f>
        <v>93.52</v>
      </c>
      <c r="I21" s="41">
        <f t="shared" si="1"/>
        <v>0</v>
      </c>
      <c r="J21" s="41">
        <f t="shared" si="2"/>
        <v>62.427264000000001</v>
      </c>
      <c r="K21" s="41">
        <f t="shared" si="14"/>
        <v>64.918216000000001</v>
      </c>
      <c r="L21" s="41">
        <f t="shared" si="15"/>
        <v>0</v>
      </c>
      <c r="M21" s="41">
        <f t="shared" si="5"/>
        <v>124.96142399999999</v>
      </c>
    </row>
    <row r="25" spans="1:13">
      <c r="A25" s="5" t="s">
        <v>184</v>
      </c>
    </row>
    <row r="26" spans="1:13" ht="15">
      <c r="A26" s="1" t="s">
        <v>334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4"/>
    </row>
    <row r="27" spans="1:13">
      <c r="A27" s="72" t="s">
        <v>485</v>
      </c>
      <c r="B27" s="72"/>
      <c r="C27" s="72"/>
      <c r="D27" s="72"/>
      <c r="E27" s="72"/>
      <c r="F27" s="72"/>
      <c r="G27" s="72"/>
      <c r="H27" s="72"/>
    </row>
    <row r="28" spans="1:13">
      <c r="A28" s="73" t="s">
        <v>486</v>
      </c>
      <c r="B28" s="73"/>
      <c r="C28" s="73"/>
      <c r="D28" s="73"/>
      <c r="E28" s="73"/>
      <c r="F28" s="73"/>
      <c r="G28" s="73"/>
      <c r="H28" s="73"/>
    </row>
    <row r="29" spans="1:13" ht="15">
      <c r="A29" s="1" t="s">
        <v>220</v>
      </c>
      <c r="B29" s="1" t="s">
        <v>311</v>
      </c>
      <c r="C29" s="1"/>
      <c r="D29" s="1">
        <v>46.72</v>
      </c>
      <c r="E29" s="1">
        <v>46.64</v>
      </c>
      <c r="F29" s="1">
        <v>0</v>
      </c>
      <c r="G29" s="1">
        <v>93.52</v>
      </c>
      <c r="H29" s="4" t="s">
        <v>496</v>
      </c>
    </row>
    <row r="30" spans="1:13">
      <c r="A30" s="72" t="s">
        <v>375</v>
      </c>
      <c r="B30" s="72"/>
      <c r="C30" s="72"/>
      <c r="D30" s="72"/>
      <c r="E30" s="72"/>
      <c r="F30" s="72"/>
      <c r="G30" s="72"/>
      <c r="H30" s="72"/>
    </row>
    <row r="31" spans="1:13">
      <c r="A31" s="72" t="s">
        <v>349</v>
      </c>
      <c r="B31" s="72"/>
      <c r="C31" s="72"/>
      <c r="D31" s="72"/>
      <c r="E31" s="72"/>
      <c r="F31" s="72"/>
      <c r="G31" s="72"/>
      <c r="H31" s="72"/>
    </row>
  </sheetData>
  <mergeCells count="5">
    <mergeCell ref="A27:H27"/>
    <mergeCell ref="A28:H28"/>
    <mergeCell ref="A30:H30"/>
    <mergeCell ref="A31:H31"/>
    <mergeCell ref="I1:J1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C1" workbookViewId="0">
      <selection activeCell="J24" sqref="J24"/>
    </sheetView>
  </sheetViews>
  <sheetFormatPr baseColWidth="10" defaultRowHeight="13" x14ac:dyDescent="0"/>
  <cols>
    <col min="1" max="1" width="29.7109375" customWidth="1"/>
  </cols>
  <sheetData>
    <row r="1" spans="1:13">
      <c r="A1" s="26" t="s">
        <v>407</v>
      </c>
      <c r="I1" s="74" t="s">
        <v>461</v>
      </c>
      <c r="J1" s="74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I3" s="49">
        <f>C3*0.209688</f>
        <v>0</v>
      </c>
      <c r="J3" s="49">
        <f>D3*0.282626</f>
        <v>0</v>
      </c>
      <c r="K3" s="49">
        <f>E3*0.263019</f>
        <v>0</v>
      </c>
      <c r="L3" s="49">
        <f>F3*0.264189</f>
        <v>0</v>
      </c>
      <c r="M3" s="49">
        <f>G3*0.282626</f>
        <v>0</v>
      </c>
    </row>
    <row r="4" spans="1:13">
      <c r="A4" t="s">
        <v>436</v>
      </c>
      <c r="I4" s="49">
        <f t="shared" ref="I4:I21" si="0">C4*0.209688</f>
        <v>0</v>
      </c>
      <c r="J4" s="49">
        <f t="shared" ref="J4:J21" si="1">D4*0.282626</f>
        <v>0</v>
      </c>
      <c r="K4" s="49">
        <f t="shared" ref="K4:K21" si="2">E4*0.263019</f>
        <v>0</v>
      </c>
      <c r="L4" s="49">
        <f t="shared" ref="L4:L21" si="3">F4*0.264189</f>
        <v>0</v>
      </c>
      <c r="M4" s="49">
        <f t="shared" ref="M4:M21" si="4">G4*0.282626</f>
        <v>0</v>
      </c>
    </row>
    <row r="5" spans="1:13">
      <c r="A5" t="s">
        <v>437</v>
      </c>
      <c r="I5" s="49">
        <f t="shared" si="0"/>
        <v>0</v>
      </c>
      <c r="J5" s="49">
        <f t="shared" si="1"/>
        <v>0</v>
      </c>
      <c r="K5" s="49">
        <f t="shared" si="2"/>
        <v>0</v>
      </c>
      <c r="L5" s="49">
        <f t="shared" si="3"/>
        <v>0</v>
      </c>
      <c r="M5" s="49">
        <f t="shared" si="4"/>
        <v>0</v>
      </c>
    </row>
    <row r="6" spans="1:13">
      <c r="A6" t="s">
        <v>438</v>
      </c>
      <c r="C6">
        <f>SUM(C3:C5)</f>
        <v>0</v>
      </c>
      <c r="D6">
        <f t="shared" ref="D6:G6" si="5">SUM(D3:D5)</f>
        <v>0</v>
      </c>
      <c r="E6">
        <f t="shared" si="5"/>
        <v>0</v>
      </c>
      <c r="F6">
        <f t="shared" si="5"/>
        <v>0</v>
      </c>
      <c r="G6">
        <f t="shared" si="5"/>
        <v>0</v>
      </c>
      <c r="I6" s="49">
        <f t="shared" si="0"/>
        <v>0</v>
      </c>
      <c r="J6" s="49">
        <f t="shared" si="1"/>
        <v>0</v>
      </c>
      <c r="K6" s="49">
        <f t="shared" si="2"/>
        <v>0</v>
      </c>
      <c r="L6" s="49">
        <f t="shared" si="3"/>
        <v>0</v>
      </c>
      <c r="M6" s="49">
        <f t="shared" si="4"/>
        <v>0</v>
      </c>
    </row>
    <row r="7" spans="1:13">
      <c r="I7" s="49"/>
      <c r="J7" s="49"/>
      <c r="K7" s="49"/>
      <c r="L7" s="49"/>
      <c r="M7" s="49"/>
    </row>
    <row r="8" spans="1:13">
      <c r="A8" t="s">
        <v>439</v>
      </c>
      <c r="C8">
        <f>C29+C31</f>
        <v>0</v>
      </c>
      <c r="D8">
        <f>D29+D31</f>
        <v>0.14000000000000001</v>
      </c>
      <c r="E8">
        <f>E29+E31</f>
        <v>0.13999999999999999</v>
      </c>
      <c r="F8">
        <f t="shared" ref="F8:G8" si="6">F29+F31</f>
        <v>0.14000000000000001</v>
      </c>
      <c r="G8">
        <f t="shared" si="6"/>
        <v>0.14000000000000001</v>
      </c>
      <c r="I8" s="49">
        <f t="shared" si="0"/>
        <v>0</v>
      </c>
      <c r="J8" s="49">
        <f t="shared" si="1"/>
        <v>3.9567640000000001E-2</v>
      </c>
      <c r="K8" s="49">
        <f t="shared" si="2"/>
        <v>3.6822659999999993E-2</v>
      </c>
      <c r="L8" s="49">
        <f t="shared" si="3"/>
        <v>3.6986460000000006E-2</v>
      </c>
      <c r="M8" s="49">
        <f t="shared" si="4"/>
        <v>3.9567640000000001E-2</v>
      </c>
    </row>
    <row r="9" spans="1:13">
      <c r="A9" t="s">
        <v>440</v>
      </c>
      <c r="C9">
        <f>C34</f>
        <v>0</v>
      </c>
      <c r="D9">
        <f>D34</f>
        <v>1733.33</v>
      </c>
      <c r="E9">
        <f>E34</f>
        <v>1500</v>
      </c>
      <c r="F9">
        <f t="shared" ref="F9:G9" si="7">F34</f>
        <v>1700</v>
      </c>
      <c r="G9">
        <f t="shared" si="7"/>
        <v>2000</v>
      </c>
      <c r="I9" s="49">
        <f t="shared" si="0"/>
        <v>0</v>
      </c>
      <c r="J9" s="49">
        <f t="shared" si="1"/>
        <v>489.88412457999993</v>
      </c>
      <c r="K9" s="49">
        <f t="shared" si="2"/>
        <v>394.52850000000001</v>
      </c>
      <c r="L9" s="49">
        <f t="shared" si="3"/>
        <v>449.12130000000002</v>
      </c>
      <c r="M9" s="49">
        <f t="shared" si="4"/>
        <v>565.25199999999995</v>
      </c>
    </row>
    <row r="10" spans="1:13">
      <c r="A10" t="s">
        <v>441</v>
      </c>
      <c r="I10" s="49">
        <f t="shared" si="0"/>
        <v>0</v>
      </c>
      <c r="J10" s="49">
        <f t="shared" si="1"/>
        <v>0</v>
      </c>
      <c r="K10" s="49">
        <f t="shared" si="2"/>
        <v>0</v>
      </c>
      <c r="L10" s="49">
        <f t="shared" si="3"/>
        <v>0</v>
      </c>
      <c r="M10" s="49">
        <f t="shared" si="4"/>
        <v>0</v>
      </c>
    </row>
    <row r="11" spans="1:13">
      <c r="A11" t="s">
        <v>442</v>
      </c>
      <c r="C11">
        <f>SUM(C8:C10)</f>
        <v>0</v>
      </c>
      <c r="D11">
        <f>SUM(D8:D10)</f>
        <v>1733.47</v>
      </c>
      <c r="E11">
        <f>SUM(E8:E10)</f>
        <v>1500.14</v>
      </c>
      <c r="F11">
        <f t="shared" ref="F11:G11" si="8">SUM(F8:F10)</f>
        <v>1700.14</v>
      </c>
      <c r="G11">
        <f t="shared" si="8"/>
        <v>2000.14</v>
      </c>
      <c r="I11" s="49">
        <f t="shared" si="0"/>
        <v>0</v>
      </c>
      <c r="J11" s="49">
        <f t="shared" si="1"/>
        <v>489.92369221999996</v>
      </c>
      <c r="K11" s="49">
        <f t="shared" si="2"/>
        <v>394.56532266000005</v>
      </c>
      <c r="L11" s="49">
        <f t="shared" si="3"/>
        <v>449.15828646000006</v>
      </c>
      <c r="M11" s="49">
        <f t="shared" si="4"/>
        <v>565.29156764000004</v>
      </c>
    </row>
    <row r="12" spans="1:13">
      <c r="I12" s="49"/>
      <c r="J12" s="49"/>
      <c r="K12" s="49"/>
      <c r="L12" s="49"/>
      <c r="M12" s="49"/>
    </row>
    <row r="13" spans="1:13">
      <c r="A13" t="s">
        <v>443</v>
      </c>
      <c r="C13">
        <f>C42+C44</f>
        <v>0</v>
      </c>
      <c r="D13">
        <f>D42+D44</f>
        <v>146.86000000000001</v>
      </c>
      <c r="E13">
        <f>E42+E44</f>
        <v>148.85999999999999</v>
      </c>
      <c r="F13">
        <f t="shared" ref="F13:G13" si="9">F42+F44</f>
        <v>145.85999999999999</v>
      </c>
      <c r="G13">
        <f t="shared" si="9"/>
        <v>145.85999999999999</v>
      </c>
      <c r="I13" s="49">
        <f t="shared" si="0"/>
        <v>0</v>
      </c>
      <c r="J13" s="49">
        <f t="shared" si="1"/>
        <v>41.506454359999999</v>
      </c>
      <c r="K13" s="49">
        <f t="shared" si="2"/>
        <v>39.15300834</v>
      </c>
      <c r="L13" s="49">
        <f t="shared" si="3"/>
        <v>38.534607539999996</v>
      </c>
      <c r="M13" s="49">
        <f t="shared" si="4"/>
        <v>41.223828359999992</v>
      </c>
    </row>
    <row r="14" spans="1:13">
      <c r="A14" t="s">
        <v>444</v>
      </c>
      <c r="I14" s="49">
        <f t="shared" si="0"/>
        <v>0</v>
      </c>
      <c r="J14" s="49">
        <f t="shared" si="1"/>
        <v>0</v>
      </c>
      <c r="K14" s="49">
        <f t="shared" si="2"/>
        <v>0</v>
      </c>
      <c r="L14" s="49">
        <f t="shared" si="3"/>
        <v>0</v>
      </c>
      <c r="M14" s="49">
        <f t="shared" si="4"/>
        <v>0</v>
      </c>
    </row>
    <row r="15" spans="1:13">
      <c r="A15" t="s">
        <v>445</v>
      </c>
      <c r="I15" s="49">
        <f t="shared" si="0"/>
        <v>0</v>
      </c>
      <c r="J15" s="49">
        <f t="shared" si="1"/>
        <v>0</v>
      </c>
      <c r="K15" s="49">
        <f t="shared" si="2"/>
        <v>0</v>
      </c>
      <c r="L15" s="49">
        <f t="shared" si="3"/>
        <v>0</v>
      </c>
      <c r="M15" s="49">
        <f t="shared" si="4"/>
        <v>0</v>
      </c>
    </row>
    <row r="16" spans="1:13">
      <c r="A16" t="s">
        <v>446</v>
      </c>
      <c r="C16">
        <f>SUM(C13:C15)</f>
        <v>0</v>
      </c>
      <c r="D16">
        <f>SUM(D13:D15)</f>
        <v>146.86000000000001</v>
      </c>
      <c r="E16">
        <f t="shared" ref="E16:G16" si="10">SUM(E13:E15)</f>
        <v>148.85999999999999</v>
      </c>
      <c r="F16">
        <f t="shared" si="10"/>
        <v>145.85999999999999</v>
      </c>
      <c r="G16">
        <f t="shared" si="10"/>
        <v>145.85999999999999</v>
      </c>
      <c r="I16" s="49">
        <f t="shared" si="0"/>
        <v>0</v>
      </c>
      <c r="J16" s="49">
        <f t="shared" si="1"/>
        <v>41.506454359999999</v>
      </c>
      <c r="K16" s="49">
        <f t="shared" si="2"/>
        <v>39.15300834</v>
      </c>
      <c r="L16" s="49">
        <f t="shared" si="3"/>
        <v>38.534607539999996</v>
      </c>
      <c r="M16" s="49">
        <f t="shared" si="4"/>
        <v>41.223828359999992</v>
      </c>
    </row>
    <row r="17" spans="1:13">
      <c r="I17" s="49"/>
      <c r="J17" s="49"/>
      <c r="K17" s="49"/>
      <c r="L17" s="49"/>
      <c r="M17" s="49"/>
    </row>
    <row r="18" spans="1:13">
      <c r="A18" t="s">
        <v>447</v>
      </c>
      <c r="C18" s="8">
        <f>C3+C8+C13</f>
        <v>0</v>
      </c>
      <c r="D18" s="8">
        <f>D3+D8+D13</f>
        <v>147</v>
      </c>
      <c r="E18" s="8">
        <f t="shared" ref="D18:G20" si="11">E3+E8+E13</f>
        <v>148.99999999999997</v>
      </c>
      <c r="F18" s="8">
        <f t="shared" si="11"/>
        <v>145.99999999999997</v>
      </c>
      <c r="G18" s="8">
        <f>G3+G8+G13</f>
        <v>145.99999999999997</v>
      </c>
      <c r="I18" s="49">
        <f t="shared" si="0"/>
        <v>0</v>
      </c>
      <c r="J18" s="49">
        <f t="shared" si="1"/>
        <v>41.546022000000001</v>
      </c>
      <c r="K18" s="49">
        <f t="shared" si="2"/>
        <v>39.189830999999991</v>
      </c>
      <c r="L18" s="49">
        <f t="shared" si="3"/>
        <v>38.57159399999999</v>
      </c>
      <c r="M18" s="49">
        <f t="shared" si="4"/>
        <v>41.263395999999993</v>
      </c>
    </row>
    <row r="19" spans="1:13">
      <c r="A19" t="s">
        <v>448</v>
      </c>
      <c r="C19" s="8">
        <f>C4+C9+C14</f>
        <v>0</v>
      </c>
      <c r="D19" s="8">
        <f>D4+D9+D14</f>
        <v>1733.33</v>
      </c>
      <c r="E19" s="8">
        <f t="shared" si="11"/>
        <v>1500</v>
      </c>
      <c r="F19" s="8">
        <f t="shared" si="11"/>
        <v>1700</v>
      </c>
      <c r="G19" s="8">
        <f>G4+G9+G14</f>
        <v>2000</v>
      </c>
      <c r="I19" s="49">
        <f t="shared" si="0"/>
        <v>0</v>
      </c>
      <c r="J19" s="49">
        <f t="shared" si="1"/>
        <v>489.88412457999993</v>
      </c>
      <c r="K19" s="49">
        <f t="shared" si="2"/>
        <v>394.52850000000001</v>
      </c>
      <c r="L19" s="49">
        <f t="shared" si="3"/>
        <v>449.12130000000002</v>
      </c>
      <c r="M19" s="49">
        <f t="shared" si="4"/>
        <v>565.25199999999995</v>
      </c>
    </row>
    <row r="20" spans="1:13">
      <c r="A20" t="s">
        <v>449</v>
      </c>
      <c r="C20" s="8">
        <f>C5+C10+C15</f>
        <v>0</v>
      </c>
      <c r="D20" s="8">
        <f t="shared" si="11"/>
        <v>0</v>
      </c>
      <c r="E20" s="8">
        <f t="shared" si="11"/>
        <v>0</v>
      </c>
      <c r="F20" s="8">
        <f t="shared" si="11"/>
        <v>0</v>
      </c>
      <c r="G20" s="8">
        <f t="shared" si="11"/>
        <v>0</v>
      </c>
      <c r="I20" s="49">
        <f t="shared" si="0"/>
        <v>0</v>
      </c>
      <c r="J20" s="49">
        <f t="shared" si="1"/>
        <v>0</v>
      </c>
      <c r="K20" s="49">
        <f t="shared" si="2"/>
        <v>0</v>
      </c>
      <c r="L20" s="49">
        <f t="shared" si="3"/>
        <v>0</v>
      </c>
      <c r="M20" s="49">
        <f t="shared" si="4"/>
        <v>0</v>
      </c>
    </row>
    <row r="21" spans="1:13">
      <c r="A21" t="s">
        <v>525</v>
      </c>
      <c r="C21" s="8">
        <f>SUM(C18:C20)</f>
        <v>0</v>
      </c>
      <c r="D21" s="8">
        <f t="shared" ref="D21:F21" si="12">SUM(D18:D20)</f>
        <v>1880.33</v>
      </c>
      <c r="E21" s="8">
        <f t="shared" si="12"/>
        <v>1649</v>
      </c>
      <c r="F21" s="8">
        <f t="shared" si="12"/>
        <v>1846</v>
      </c>
      <c r="G21" s="8">
        <f>SUM(G18:G20)</f>
        <v>2146</v>
      </c>
      <c r="I21" s="49">
        <f t="shared" si="0"/>
        <v>0</v>
      </c>
      <c r="J21" s="49">
        <f t="shared" si="1"/>
        <v>531.43014657999993</v>
      </c>
      <c r="K21" s="49">
        <f t="shared" si="2"/>
        <v>433.71833099999998</v>
      </c>
      <c r="L21" s="49">
        <f t="shared" si="3"/>
        <v>487.69289400000002</v>
      </c>
      <c r="M21" s="49">
        <f t="shared" si="4"/>
        <v>606.51539600000001</v>
      </c>
    </row>
    <row r="25" spans="1:13">
      <c r="A25" s="5" t="s">
        <v>188</v>
      </c>
    </row>
    <row r="26" spans="1:13">
      <c r="A26" s="1" t="s">
        <v>331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</row>
    <row r="27" spans="1:13">
      <c r="A27" s="72" t="s">
        <v>485</v>
      </c>
      <c r="B27" s="72"/>
      <c r="C27" s="72"/>
      <c r="D27" s="72"/>
      <c r="E27" s="72"/>
      <c r="F27" s="72"/>
      <c r="G27" s="72"/>
    </row>
    <row r="28" spans="1:13">
      <c r="A28" s="73" t="s">
        <v>486</v>
      </c>
      <c r="B28" s="73"/>
      <c r="C28" s="73"/>
      <c r="D28" s="73"/>
      <c r="E28" s="73"/>
      <c r="F28" s="73"/>
      <c r="G28" s="73"/>
    </row>
    <row r="29" spans="1:13">
      <c r="A29" s="1" t="s">
        <v>185</v>
      </c>
      <c r="B29" s="1" t="s">
        <v>311</v>
      </c>
      <c r="C29" s="1"/>
      <c r="D29" s="1">
        <v>0.03</v>
      </c>
      <c r="E29" s="1">
        <v>0.02</v>
      </c>
      <c r="F29" s="1">
        <v>0.03</v>
      </c>
      <c r="G29" s="1">
        <v>0.03</v>
      </c>
      <c r="H29" t="s">
        <v>494</v>
      </c>
    </row>
    <row r="30" spans="1:13">
      <c r="A30" s="73" t="s">
        <v>361</v>
      </c>
      <c r="B30" s="73"/>
      <c r="C30" s="73"/>
      <c r="D30" s="73"/>
      <c r="E30" s="73"/>
      <c r="F30" s="73"/>
      <c r="G30" s="73"/>
    </row>
    <row r="31" spans="1:13">
      <c r="A31" s="1" t="s">
        <v>186</v>
      </c>
      <c r="B31" s="1" t="s">
        <v>311</v>
      </c>
      <c r="C31" s="1"/>
      <c r="D31" s="1">
        <v>0.11</v>
      </c>
      <c r="E31" s="1">
        <v>0.12</v>
      </c>
      <c r="F31" s="1">
        <v>0.11</v>
      </c>
      <c r="G31" s="1">
        <v>0.11</v>
      </c>
      <c r="H31" t="s">
        <v>494</v>
      </c>
    </row>
    <row r="32" spans="1:13">
      <c r="A32" s="72" t="s">
        <v>434</v>
      </c>
      <c r="B32" s="72"/>
      <c r="C32" s="72"/>
      <c r="D32" s="72"/>
      <c r="E32" s="72"/>
      <c r="F32" s="72"/>
      <c r="G32" s="72"/>
    </row>
    <row r="33" spans="1:8">
      <c r="A33" s="73" t="s">
        <v>435</v>
      </c>
      <c r="B33" s="73"/>
      <c r="C33" s="73"/>
      <c r="D33" s="73"/>
      <c r="E33" s="73"/>
      <c r="F33" s="73"/>
      <c r="G33" s="73"/>
    </row>
    <row r="34" spans="1:8">
      <c r="A34" s="1" t="s">
        <v>187</v>
      </c>
      <c r="B34" s="1" t="s">
        <v>311</v>
      </c>
      <c r="C34" s="1"/>
      <c r="D34" s="1">
        <v>1733.33</v>
      </c>
      <c r="E34" s="1">
        <v>1500</v>
      </c>
      <c r="F34" s="1">
        <v>1700</v>
      </c>
      <c r="G34" s="1">
        <v>2000</v>
      </c>
      <c r="H34" t="s">
        <v>495</v>
      </c>
    </row>
    <row r="35" spans="1:8">
      <c r="A35" s="72" t="s">
        <v>349</v>
      </c>
      <c r="B35" s="72"/>
      <c r="C35" s="72"/>
      <c r="D35" s="72"/>
      <c r="E35" s="72"/>
      <c r="F35" s="72"/>
      <c r="G35" s="72"/>
    </row>
    <row r="38" spans="1:8">
      <c r="A38" s="5" t="s">
        <v>189</v>
      </c>
    </row>
    <row r="39" spans="1:8" ht="15">
      <c r="A39" s="1" t="s">
        <v>331</v>
      </c>
      <c r="B39" s="1" t="s">
        <v>481</v>
      </c>
      <c r="C39" s="1" t="s">
        <v>482</v>
      </c>
      <c r="D39" s="1" t="s">
        <v>483</v>
      </c>
      <c r="E39" s="1">
        <v>2008</v>
      </c>
      <c r="F39" s="1">
        <v>2009</v>
      </c>
      <c r="G39" s="1" t="s">
        <v>484</v>
      </c>
      <c r="H39" s="4"/>
    </row>
    <row r="40" spans="1:8">
      <c r="A40" s="72" t="s">
        <v>485</v>
      </c>
      <c r="B40" s="72"/>
      <c r="C40" s="72"/>
      <c r="D40" s="72"/>
      <c r="E40" s="72"/>
      <c r="F40" s="72"/>
      <c r="G40" s="72"/>
      <c r="H40" s="72"/>
    </row>
    <row r="41" spans="1:8">
      <c r="A41" s="73" t="s">
        <v>486</v>
      </c>
      <c r="B41" s="73"/>
      <c r="C41" s="73"/>
      <c r="D41" s="73"/>
      <c r="E41" s="73"/>
      <c r="F41" s="73"/>
      <c r="G41" s="73"/>
      <c r="H41" s="73"/>
    </row>
    <row r="42" spans="1:8">
      <c r="A42" s="1" t="s">
        <v>185</v>
      </c>
      <c r="B42" s="1" t="s">
        <v>311</v>
      </c>
      <c r="C42" s="1"/>
      <c r="D42" s="1">
        <v>26.86</v>
      </c>
      <c r="E42" s="1">
        <v>25.79</v>
      </c>
      <c r="F42" s="1">
        <v>27.4</v>
      </c>
      <c r="G42" s="1">
        <v>27.4</v>
      </c>
      <c r="H42" t="s">
        <v>580</v>
      </c>
    </row>
    <row r="43" spans="1:8">
      <c r="A43" s="73" t="s">
        <v>361</v>
      </c>
      <c r="B43" s="73"/>
      <c r="C43" s="73"/>
      <c r="D43" s="73"/>
      <c r="E43" s="73"/>
      <c r="F43" s="73"/>
      <c r="G43" s="73"/>
      <c r="H43" s="73"/>
    </row>
    <row r="44" spans="1:8">
      <c r="A44" s="1" t="s">
        <v>186</v>
      </c>
      <c r="B44" s="1" t="s">
        <v>311</v>
      </c>
      <c r="C44" s="1"/>
      <c r="D44" s="1">
        <v>120</v>
      </c>
      <c r="E44" s="1">
        <v>123.07</v>
      </c>
      <c r="F44" s="1">
        <v>118.46</v>
      </c>
      <c r="G44" s="1">
        <v>118.46</v>
      </c>
      <c r="H44" t="s">
        <v>580</v>
      </c>
    </row>
    <row r="45" spans="1:8">
      <c r="A45" s="72" t="s">
        <v>375</v>
      </c>
      <c r="B45" s="72"/>
      <c r="C45" s="72"/>
      <c r="D45" s="72"/>
      <c r="E45" s="72"/>
      <c r="F45" s="72"/>
      <c r="G45" s="72"/>
      <c r="H45" s="72"/>
    </row>
    <row r="46" spans="1:8">
      <c r="A46" s="72" t="s">
        <v>349</v>
      </c>
      <c r="B46" s="72"/>
      <c r="C46" s="72"/>
      <c r="D46" s="72"/>
      <c r="E46" s="72"/>
      <c r="F46" s="72"/>
      <c r="G46" s="72"/>
      <c r="H46" s="72"/>
    </row>
  </sheetData>
  <mergeCells count="12">
    <mergeCell ref="A35:G35"/>
    <mergeCell ref="I1:J1"/>
    <mergeCell ref="A27:G27"/>
    <mergeCell ref="A28:G28"/>
    <mergeCell ref="A30:G30"/>
    <mergeCell ref="A32:G32"/>
    <mergeCell ref="A33:G33"/>
    <mergeCell ref="A40:H40"/>
    <mergeCell ref="A41:H41"/>
    <mergeCell ref="A43:H43"/>
    <mergeCell ref="A45:H45"/>
    <mergeCell ref="A46:H46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I3" sqref="I3:M21"/>
    </sheetView>
  </sheetViews>
  <sheetFormatPr baseColWidth="10" defaultRowHeight="13" x14ac:dyDescent="0"/>
  <cols>
    <col min="1" max="1" width="34.28515625" customWidth="1"/>
    <col min="8" max="8" width="10.7109375" style="16"/>
  </cols>
  <sheetData>
    <row r="1" spans="1:13">
      <c r="A1" s="26" t="s">
        <v>509</v>
      </c>
      <c r="I1" s="74" t="s">
        <v>461</v>
      </c>
      <c r="J1" s="74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I3" s="41">
        <f>C3*1.0485</f>
        <v>0</v>
      </c>
      <c r="J3" s="41">
        <f>D3*1.3362</f>
        <v>0</v>
      </c>
      <c r="K3" s="41">
        <f>E3*1.3919</f>
        <v>0</v>
      </c>
      <c r="L3" s="41">
        <f>F3*1.4406</f>
        <v>0</v>
      </c>
      <c r="M3" s="41">
        <f>G3*1.3362</f>
        <v>0</v>
      </c>
    </row>
    <row r="4" spans="1:13">
      <c r="A4" t="s">
        <v>436</v>
      </c>
      <c r="I4" s="41">
        <f t="shared" ref="I4:I21" si="0">C4*1.0485</f>
        <v>0</v>
      </c>
      <c r="J4" s="41">
        <f t="shared" ref="J4:J21" si="1">D4*1.3362</f>
        <v>0</v>
      </c>
      <c r="K4" s="41">
        <f t="shared" ref="K4:K6" si="2">E4*1.3919</f>
        <v>0</v>
      </c>
      <c r="L4" s="41">
        <f t="shared" ref="L4:L6" si="3">F4*1.4406</f>
        <v>0</v>
      </c>
      <c r="M4" s="41">
        <f t="shared" ref="M4:M21" si="4">G4*1.3362</f>
        <v>0</v>
      </c>
    </row>
    <row r="5" spans="1:13">
      <c r="A5" t="s">
        <v>437</v>
      </c>
      <c r="I5" s="41">
        <f t="shared" si="0"/>
        <v>0</v>
      </c>
      <c r="J5" s="41">
        <f t="shared" si="1"/>
        <v>0</v>
      </c>
      <c r="K5" s="41">
        <f t="shared" si="2"/>
        <v>0</v>
      </c>
      <c r="L5" s="41">
        <f t="shared" si="3"/>
        <v>0</v>
      </c>
      <c r="M5" s="41">
        <f t="shared" si="4"/>
        <v>0</v>
      </c>
    </row>
    <row r="6" spans="1:13">
      <c r="A6" t="s">
        <v>438</v>
      </c>
      <c r="C6">
        <f>SUM(C3:C5)</f>
        <v>0</v>
      </c>
      <c r="D6">
        <f t="shared" ref="D6:G6" si="5">SUM(D3:D5)</f>
        <v>0</v>
      </c>
      <c r="E6">
        <f t="shared" si="5"/>
        <v>0</v>
      </c>
      <c r="F6">
        <f t="shared" si="5"/>
        <v>0</v>
      </c>
      <c r="G6">
        <f t="shared" si="5"/>
        <v>0</v>
      </c>
      <c r="I6" s="41">
        <f t="shared" si="0"/>
        <v>0</v>
      </c>
      <c r="J6" s="41">
        <f t="shared" si="1"/>
        <v>0</v>
      </c>
      <c r="K6" s="41">
        <f t="shared" si="2"/>
        <v>0</v>
      </c>
      <c r="L6" s="41">
        <f t="shared" si="3"/>
        <v>0</v>
      </c>
      <c r="M6" s="41">
        <f t="shared" si="4"/>
        <v>0</v>
      </c>
    </row>
    <row r="7" spans="1:13">
      <c r="I7" s="41"/>
      <c r="J7" s="41"/>
      <c r="K7" s="41"/>
      <c r="L7" s="41"/>
      <c r="M7" s="41"/>
    </row>
    <row r="8" spans="1:13">
      <c r="A8" t="s">
        <v>439</v>
      </c>
      <c r="I8" s="41">
        <f t="shared" si="0"/>
        <v>0</v>
      </c>
      <c r="J8" s="41">
        <f t="shared" si="1"/>
        <v>0</v>
      </c>
      <c r="K8" s="41">
        <f>E8*1.3919</f>
        <v>0</v>
      </c>
      <c r="L8" s="41">
        <f>F8*1.4406</f>
        <v>0</v>
      </c>
      <c r="M8" s="41">
        <f t="shared" si="4"/>
        <v>0</v>
      </c>
    </row>
    <row r="9" spans="1:13">
      <c r="A9" t="s">
        <v>440</v>
      </c>
      <c r="C9">
        <f>C30+C31+C32+C33+C34+C35+C36</f>
        <v>0</v>
      </c>
      <c r="D9">
        <f>D30+D31+D32+D33+D34+D35+D36</f>
        <v>1475.3999999999999</v>
      </c>
      <c r="E9">
        <f t="shared" ref="E9:G9" si="6">E30+E31+E32+E33+E34+E35+E36</f>
        <v>0</v>
      </c>
      <c r="F9">
        <f t="shared" si="6"/>
        <v>0</v>
      </c>
      <c r="G9">
        <f t="shared" si="6"/>
        <v>1475.3999999999999</v>
      </c>
      <c r="I9" s="41">
        <f t="shared" si="0"/>
        <v>0</v>
      </c>
      <c r="J9" s="41">
        <f t="shared" si="1"/>
        <v>1971.4294799999998</v>
      </c>
      <c r="K9" s="41">
        <f t="shared" ref="K9:K11" si="7">E9*1.3919</f>
        <v>0</v>
      </c>
      <c r="L9" s="41">
        <f t="shared" ref="L9:L11" si="8">F9*1.4406</f>
        <v>0</v>
      </c>
      <c r="M9" s="41">
        <f t="shared" si="4"/>
        <v>1971.4294799999998</v>
      </c>
    </row>
    <row r="10" spans="1:13">
      <c r="A10" t="s">
        <v>441</v>
      </c>
      <c r="I10" s="41">
        <f t="shared" si="0"/>
        <v>0</v>
      </c>
      <c r="J10" s="41">
        <f t="shared" si="1"/>
        <v>0</v>
      </c>
      <c r="K10" s="41">
        <f t="shared" si="7"/>
        <v>0</v>
      </c>
      <c r="L10" s="41">
        <f t="shared" si="8"/>
        <v>0</v>
      </c>
      <c r="M10" s="41">
        <f t="shared" si="4"/>
        <v>0</v>
      </c>
    </row>
    <row r="11" spans="1:13">
      <c r="A11" t="s">
        <v>442</v>
      </c>
      <c r="C11">
        <f>SUM(C8:C10)</f>
        <v>0</v>
      </c>
      <c r="D11">
        <f t="shared" ref="D11:G11" si="9">SUM(D8:D10)</f>
        <v>1475.3999999999999</v>
      </c>
      <c r="E11">
        <f t="shared" si="9"/>
        <v>0</v>
      </c>
      <c r="F11">
        <f t="shared" si="9"/>
        <v>0</v>
      </c>
      <c r="G11">
        <f t="shared" si="9"/>
        <v>1475.3999999999999</v>
      </c>
      <c r="I11" s="41">
        <f t="shared" si="0"/>
        <v>0</v>
      </c>
      <c r="J11" s="41">
        <f t="shared" si="1"/>
        <v>1971.4294799999998</v>
      </c>
      <c r="K11" s="41">
        <f t="shared" si="7"/>
        <v>0</v>
      </c>
      <c r="L11" s="41">
        <f t="shared" si="8"/>
        <v>0</v>
      </c>
      <c r="M11" s="41">
        <f t="shared" si="4"/>
        <v>1971.4294799999998</v>
      </c>
    </row>
    <row r="12" spans="1:13">
      <c r="I12" s="41"/>
      <c r="J12" s="41"/>
      <c r="K12" s="41"/>
      <c r="L12" s="41"/>
      <c r="M12" s="41"/>
    </row>
    <row r="13" spans="1:13">
      <c r="A13" t="s">
        <v>443</v>
      </c>
      <c r="I13" s="41">
        <f t="shared" si="0"/>
        <v>0</v>
      </c>
      <c r="J13" s="41">
        <f t="shared" si="1"/>
        <v>0</v>
      </c>
      <c r="K13" s="41">
        <f>E13*1.3919</f>
        <v>0</v>
      </c>
      <c r="L13" s="41">
        <f>F13*1.4406</f>
        <v>0</v>
      </c>
      <c r="M13" s="41">
        <f t="shared" si="4"/>
        <v>0</v>
      </c>
    </row>
    <row r="14" spans="1:13">
      <c r="A14" t="s">
        <v>444</v>
      </c>
      <c r="C14">
        <f>C45</f>
        <v>0</v>
      </c>
      <c r="D14">
        <f>D45</f>
        <v>60</v>
      </c>
      <c r="E14">
        <f t="shared" ref="E14:G14" si="10">E45</f>
        <v>0</v>
      </c>
      <c r="F14">
        <f t="shared" si="10"/>
        <v>0</v>
      </c>
      <c r="G14">
        <f t="shared" si="10"/>
        <v>60</v>
      </c>
      <c r="I14" s="41">
        <f t="shared" si="0"/>
        <v>0</v>
      </c>
      <c r="J14" s="41">
        <f t="shared" si="1"/>
        <v>80.171999999999997</v>
      </c>
      <c r="K14" s="41">
        <f t="shared" ref="K14:K16" si="11">E14*1.3919</f>
        <v>0</v>
      </c>
      <c r="L14" s="41">
        <f t="shared" ref="L14:L16" si="12">F14*1.4406</f>
        <v>0</v>
      </c>
      <c r="M14" s="41">
        <f t="shared" si="4"/>
        <v>80.171999999999997</v>
      </c>
    </row>
    <row r="15" spans="1:13">
      <c r="A15" t="s">
        <v>445</v>
      </c>
      <c r="I15" s="41">
        <f t="shared" si="0"/>
        <v>0</v>
      </c>
      <c r="J15" s="41">
        <f t="shared" si="1"/>
        <v>0</v>
      </c>
      <c r="K15" s="41">
        <f t="shared" si="11"/>
        <v>0</v>
      </c>
      <c r="L15" s="41">
        <f t="shared" si="12"/>
        <v>0</v>
      </c>
      <c r="M15" s="41">
        <f t="shared" si="4"/>
        <v>0</v>
      </c>
    </row>
    <row r="16" spans="1:13">
      <c r="A16" t="s">
        <v>446</v>
      </c>
      <c r="C16">
        <f>SUM(C13:C15)</f>
        <v>0</v>
      </c>
      <c r="D16">
        <f t="shared" ref="D16:G16" si="13">SUM(D13:D15)</f>
        <v>60</v>
      </c>
      <c r="E16">
        <f t="shared" si="13"/>
        <v>0</v>
      </c>
      <c r="F16">
        <f t="shared" si="13"/>
        <v>0</v>
      </c>
      <c r="G16">
        <f t="shared" si="13"/>
        <v>60</v>
      </c>
      <c r="I16" s="41">
        <f t="shared" si="0"/>
        <v>0</v>
      </c>
      <c r="J16" s="41">
        <f t="shared" si="1"/>
        <v>80.171999999999997</v>
      </c>
      <c r="K16" s="41">
        <f t="shared" si="11"/>
        <v>0</v>
      </c>
      <c r="L16" s="41">
        <f t="shared" si="12"/>
        <v>0</v>
      </c>
      <c r="M16" s="41">
        <f t="shared" si="4"/>
        <v>80.171999999999997</v>
      </c>
    </row>
    <row r="17" spans="1:13">
      <c r="I17" s="41"/>
      <c r="J17" s="41"/>
      <c r="K17" s="41"/>
      <c r="L17" s="41"/>
      <c r="M17" s="41"/>
    </row>
    <row r="18" spans="1:13">
      <c r="A18" t="s">
        <v>447</v>
      </c>
      <c r="C18" s="8">
        <f>C3+C8+C13</f>
        <v>0</v>
      </c>
      <c r="D18" s="8">
        <f>D3+D8+D13</f>
        <v>0</v>
      </c>
      <c r="E18" s="8">
        <f t="shared" ref="D18:G20" si="14">E3+E8+E13</f>
        <v>0</v>
      </c>
      <c r="F18" s="8">
        <f t="shared" si="14"/>
        <v>0</v>
      </c>
      <c r="G18" s="8">
        <f>G3+G8+G13</f>
        <v>0</v>
      </c>
      <c r="I18" s="41">
        <f t="shared" si="0"/>
        <v>0</v>
      </c>
      <c r="J18" s="41">
        <f t="shared" si="1"/>
        <v>0</v>
      </c>
      <c r="K18" s="41">
        <f>E18*1.3919</f>
        <v>0</v>
      </c>
      <c r="L18" s="41">
        <f>F18*1.4406</f>
        <v>0</v>
      </c>
      <c r="M18" s="41">
        <f t="shared" si="4"/>
        <v>0</v>
      </c>
    </row>
    <row r="19" spans="1:13">
      <c r="A19" t="s">
        <v>448</v>
      </c>
      <c r="C19" s="8">
        <f>C4+C9+C14</f>
        <v>0</v>
      </c>
      <c r="D19" s="8">
        <f>D4+D9+D14</f>
        <v>1535.3999999999999</v>
      </c>
      <c r="E19" s="8">
        <f t="shared" si="14"/>
        <v>0</v>
      </c>
      <c r="F19" s="8">
        <f t="shared" si="14"/>
        <v>0</v>
      </c>
      <c r="G19" s="8">
        <f>G4+G9+G14</f>
        <v>1535.3999999999999</v>
      </c>
      <c r="I19" s="41">
        <f t="shared" si="0"/>
        <v>0</v>
      </c>
      <c r="J19" s="41">
        <f t="shared" si="1"/>
        <v>2051.6014799999998</v>
      </c>
      <c r="K19" s="41">
        <f t="shared" ref="K19:K21" si="15">E19*1.3919</f>
        <v>0</v>
      </c>
      <c r="L19" s="41">
        <f t="shared" ref="L19:L21" si="16">F19*1.4406</f>
        <v>0</v>
      </c>
      <c r="M19" s="41">
        <f t="shared" si="4"/>
        <v>2051.6014799999998</v>
      </c>
    </row>
    <row r="20" spans="1:13">
      <c r="A20" t="s">
        <v>449</v>
      </c>
      <c r="C20" s="8">
        <f>C5+C10+C15</f>
        <v>0</v>
      </c>
      <c r="D20" s="8">
        <f t="shared" si="14"/>
        <v>0</v>
      </c>
      <c r="E20" s="8">
        <f t="shared" si="14"/>
        <v>0</v>
      </c>
      <c r="F20" s="8">
        <f t="shared" si="14"/>
        <v>0</v>
      </c>
      <c r="G20" s="8">
        <f t="shared" si="14"/>
        <v>0</v>
      </c>
      <c r="I20" s="41">
        <f t="shared" si="0"/>
        <v>0</v>
      </c>
      <c r="J20" s="41">
        <f t="shared" si="1"/>
        <v>0</v>
      </c>
      <c r="K20" s="41">
        <f t="shared" si="15"/>
        <v>0</v>
      </c>
      <c r="L20" s="41">
        <f t="shared" si="16"/>
        <v>0</v>
      </c>
      <c r="M20" s="41">
        <f t="shared" si="4"/>
        <v>0</v>
      </c>
    </row>
    <row r="21" spans="1:13">
      <c r="A21" t="s">
        <v>525</v>
      </c>
      <c r="C21" s="8">
        <f>SUM(C18:C20)</f>
        <v>0</v>
      </c>
      <c r="D21" s="8">
        <f t="shared" ref="D21:F21" si="17">SUM(D18:D20)</f>
        <v>1535.3999999999999</v>
      </c>
      <c r="E21" s="8">
        <f t="shared" si="17"/>
        <v>0</v>
      </c>
      <c r="F21" s="8">
        <f t="shared" si="17"/>
        <v>0</v>
      </c>
      <c r="G21" s="8">
        <f>SUM(G18:G20)</f>
        <v>1535.3999999999999</v>
      </c>
      <c r="I21" s="41">
        <f t="shared" si="0"/>
        <v>0</v>
      </c>
      <c r="J21" s="41">
        <f t="shared" si="1"/>
        <v>2051.6014799999998</v>
      </c>
      <c r="K21" s="41">
        <f t="shared" si="15"/>
        <v>0</v>
      </c>
      <c r="L21" s="41">
        <f t="shared" si="16"/>
        <v>0</v>
      </c>
      <c r="M21" s="41">
        <f t="shared" si="4"/>
        <v>2051.6014799999998</v>
      </c>
    </row>
    <row r="25" spans="1:13">
      <c r="A25" s="5" t="s">
        <v>125</v>
      </c>
    </row>
    <row r="26" spans="1:13" ht="15">
      <c r="A26" s="1" t="s">
        <v>334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324</v>
      </c>
      <c r="B27" s="28"/>
      <c r="C27" s="28"/>
      <c r="D27" s="28"/>
      <c r="E27" s="28"/>
      <c r="F27" s="28"/>
      <c r="G27" s="28"/>
      <c r="H27" s="28"/>
    </row>
    <row r="28" spans="1:13">
      <c r="A28" s="28" t="s">
        <v>434</v>
      </c>
      <c r="B28" s="28"/>
      <c r="C28" s="28"/>
      <c r="D28" s="28"/>
      <c r="E28" s="28"/>
      <c r="F28" s="28"/>
      <c r="G28" s="28"/>
      <c r="H28" s="28"/>
    </row>
    <row r="29" spans="1:13">
      <c r="A29" s="27" t="s">
        <v>435</v>
      </c>
      <c r="B29" s="27"/>
      <c r="C29" s="27"/>
      <c r="D29" s="27"/>
      <c r="E29" s="27"/>
      <c r="F29" s="27"/>
      <c r="G29" s="27"/>
      <c r="H29" s="27"/>
    </row>
    <row r="30" spans="1:13" ht="15">
      <c r="A30" s="1" t="s">
        <v>190</v>
      </c>
      <c r="B30" s="1" t="s">
        <v>311</v>
      </c>
      <c r="C30" s="1"/>
      <c r="D30" s="1">
        <v>492</v>
      </c>
      <c r="E30" s="1"/>
      <c r="F30" s="1"/>
      <c r="G30" s="1">
        <v>492</v>
      </c>
      <c r="H30" s="29" t="s">
        <v>492</v>
      </c>
    </row>
    <row r="31" spans="1:13" ht="15">
      <c r="A31" s="1" t="s">
        <v>119</v>
      </c>
      <c r="B31" s="1" t="s">
        <v>311</v>
      </c>
      <c r="C31" s="1"/>
      <c r="D31" s="1">
        <v>1.4</v>
      </c>
      <c r="E31" s="1"/>
      <c r="F31" s="1"/>
      <c r="G31" s="1">
        <v>1.4</v>
      </c>
      <c r="H31" s="29" t="s">
        <v>492</v>
      </c>
    </row>
    <row r="32" spans="1:13" ht="15">
      <c r="A32" s="1" t="s">
        <v>120</v>
      </c>
      <c r="B32" s="1" t="s">
        <v>311</v>
      </c>
      <c r="C32" s="1"/>
      <c r="D32" s="1">
        <v>816.8</v>
      </c>
      <c r="E32" s="1"/>
      <c r="F32" s="1"/>
      <c r="G32" s="1">
        <v>816.8</v>
      </c>
      <c r="H32" s="29" t="s">
        <v>492</v>
      </c>
    </row>
    <row r="33" spans="1:8" ht="15">
      <c r="A33" s="1" t="s">
        <v>121</v>
      </c>
      <c r="B33" s="1" t="s">
        <v>311</v>
      </c>
      <c r="C33" s="1"/>
      <c r="D33" s="1">
        <v>14.2</v>
      </c>
      <c r="E33" s="1"/>
      <c r="F33" s="1"/>
      <c r="G33" s="1">
        <v>14.2</v>
      </c>
      <c r="H33" s="29" t="s">
        <v>492</v>
      </c>
    </row>
    <row r="34" spans="1:8" ht="15">
      <c r="A34" s="1" t="s">
        <v>122</v>
      </c>
      <c r="B34" s="1" t="s">
        <v>311</v>
      </c>
      <c r="C34" s="1"/>
      <c r="D34" s="1">
        <v>4.0999999999999996</v>
      </c>
      <c r="E34" s="1"/>
      <c r="F34" s="1"/>
      <c r="G34" s="1">
        <v>4.0999999999999996</v>
      </c>
      <c r="H34" s="29" t="s">
        <v>492</v>
      </c>
    </row>
    <row r="35" spans="1:8" ht="15">
      <c r="A35" s="1" t="s">
        <v>123</v>
      </c>
      <c r="B35" s="1" t="s">
        <v>311</v>
      </c>
      <c r="C35" s="1"/>
      <c r="D35" s="1">
        <v>95</v>
      </c>
      <c r="E35" s="1"/>
      <c r="F35" s="1"/>
      <c r="G35" s="1">
        <v>95</v>
      </c>
      <c r="H35" s="29" t="s">
        <v>492</v>
      </c>
    </row>
    <row r="36" spans="1:8" ht="15">
      <c r="A36" s="1" t="s">
        <v>124</v>
      </c>
      <c r="B36" s="1" t="s">
        <v>311</v>
      </c>
      <c r="C36" s="1"/>
      <c r="D36" s="1">
        <v>51.9</v>
      </c>
      <c r="E36" s="1"/>
      <c r="F36" s="1"/>
      <c r="G36" s="1">
        <v>51.9</v>
      </c>
      <c r="H36" s="29" t="s">
        <v>492</v>
      </c>
    </row>
    <row r="37" spans="1:8">
      <c r="A37" s="28" t="s">
        <v>349</v>
      </c>
      <c r="B37" s="28"/>
      <c r="C37" s="28"/>
      <c r="D37" s="28"/>
      <c r="E37" s="28"/>
      <c r="F37" s="28"/>
      <c r="G37" s="28"/>
      <c r="H37" s="28"/>
    </row>
    <row r="40" spans="1:8">
      <c r="A40" s="5" t="s">
        <v>198</v>
      </c>
    </row>
    <row r="41" spans="1:8">
      <c r="A41" s="1" t="s">
        <v>334</v>
      </c>
      <c r="B41" s="1" t="s">
        <v>481</v>
      </c>
      <c r="C41" s="1" t="s">
        <v>482</v>
      </c>
      <c r="D41" s="1" t="s">
        <v>483</v>
      </c>
      <c r="E41" s="1">
        <v>2008</v>
      </c>
      <c r="F41" s="1">
        <v>2009</v>
      </c>
      <c r="G41" s="1" t="s">
        <v>484</v>
      </c>
    </row>
    <row r="42" spans="1:8">
      <c r="A42" s="72" t="s">
        <v>324</v>
      </c>
      <c r="B42" s="72"/>
      <c r="C42" s="72"/>
      <c r="D42" s="72"/>
      <c r="E42" s="72"/>
      <c r="F42" s="72"/>
      <c r="G42" s="72"/>
    </row>
    <row r="43" spans="1:8">
      <c r="A43" s="72" t="s">
        <v>434</v>
      </c>
      <c r="B43" s="72"/>
      <c r="C43" s="72"/>
      <c r="D43" s="72"/>
      <c r="E43" s="72"/>
      <c r="F43" s="72"/>
      <c r="G43" s="72"/>
    </row>
    <row r="44" spans="1:8">
      <c r="A44" s="73" t="s">
        <v>435</v>
      </c>
      <c r="B44" s="73"/>
      <c r="C44" s="73"/>
      <c r="D44" s="73"/>
      <c r="E44" s="73"/>
      <c r="F44" s="73"/>
      <c r="G44" s="73"/>
    </row>
    <row r="45" spans="1:8" ht="15">
      <c r="A45" s="1" t="s">
        <v>197</v>
      </c>
      <c r="B45" s="1" t="s">
        <v>311</v>
      </c>
      <c r="C45" s="1"/>
      <c r="D45" s="1">
        <v>60</v>
      </c>
      <c r="E45" s="1"/>
      <c r="F45" s="1"/>
      <c r="G45" s="1">
        <v>60</v>
      </c>
      <c r="H45" s="29" t="s">
        <v>493</v>
      </c>
    </row>
    <row r="46" spans="1:8">
      <c r="A46" s="72" t="s">
        <v>349</v>
      </c>
      <c r="B46" s="72"/>
      <c r="C46" s="72"/>
      <c r="D46" s="72"/>
      <c r="E46" s="72"/>
      <c r="F46" s="72"/>
      <c r="G46" s="72"/>
    </row>
  </sheetData>
  <mergeCells count="5">
    <mergeCell ref="A44:G44"/>
    <mergeCell ref="A46:G46"/>
    <mergeCell ref="A42:G42"/>
    <mergeCell ref="A43:G43"/>
    <mergeCell ref="I1:J1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C1" workbookViewId="0">
      <selection activeCell="N17" sqref="N17"/>
    </sheetView>
  </sheetViews>
  <sheetFormatPr baseColWidth="10" defaultRowHeight="13" x14ac:dyDescent="0"/>
  <cols>
    <col min="1" max="1" width="39.28515625" customWidth="1"/>
    <col min="8" max="8" width="10.7109375" style="16"/>
  </cols>
  <sheetData>
    <row r="1" spans="1:13">
      <c r="A1" s="26" t="s">
        <v>508</v>
      </c>
      <c r="I1" s="74" t="s">
        <v>461</v>
      </c>
      <c r="J1" s="74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I3" s="41">
        <f>C3*0.00842105</f>
        <v>0</v>
      </c>
      <c r="J3" s="41">
        <f>D3*0.0122982</f>
        <v>0</v>
      </c>
      <c r="K3" s="41">
        <f>E3*0.0110144</f>
        <v>0</v>
      </c>
      <c r="L3" s="41">
        <f>F3*0.0108186</f>
        <v>0</v>
      </c>
      <c r="M3" s="41">
        <f>G3*0.0122982</f>
        <v>0</v>
      </c>
    </row>
    <row r="4" spans="1:13">
      <c r="A4" t="s">
        <v>436</v>
      </c>
      <c r="I4" s="52">
        <f t="shared" ref="I4:I21" si="0">C4*0.00842105</f>
        <v>0</v>
      </c>
      <c r="J4" s="52">
        <f t="shared" ref="J4:J21" si="1">D4*0.0122982</f>
        <v>0</v>
      </c>
      <c r="K4" s="52">
        <f t="shared" ref="K4:K21" si="2">E4*0.0110144</f>
        <v>0</v>
      </c>
      <c r="L4" s="52">
        <f t="shared" ref="L4:L21" si="3">F4*0.0108186</f>
        <v>0</v>
      </c>
      <c r="M4" s="52">
        <f t="shared" ref="M4:M21" si="4">G4*0.0122982</f>
        <v>0</v>
      </c>
    </row>
    <row r="5" spans="1:13">
      <c r="A5" t="s">
        <v>437</v>
      </c>
      <c r="I5" s="52">
        <f t="shared" si="0"/>
        <v>0</v>
      </c>
      <c r="J5" s="52">
        <f t="shared" si="1"/>
        <v>0</v>
      </c>
      <c r="K5" s="52">
        <f t="shared" si="2"/>
        <v>0</v>
      </c>
      <c r="L5" s="52">
        <f t="shared" si="3"/>
        <v>0</v>
      </c>
      <c r="M5" s="52">
        <f t="shared" si="4"/>
        <v>0</v>
      </c>
    </row>
    <row r="6" spans="1:13">
      <c r="A6" t="s">
        <v>438</v>
      </c>
      <c r="I6" s="52">
        <f t="shared" si="0"/>
        <v>0</v>
      </c>
      <c r="J6" s="52">
        <f t="shared" si="1"/>
        <v>0</v>
      </c>
      <c r="K6" s="52">
        <f t="shared" si="2"/>
        <v>0</v>
      </c>
      <c r="L6" s="52">
        <f t="shared" si="3"/>
        <v>0</v>
      </c>
      <c r="M6" s="52">
        <f t="shared" si="4"/>
        <v>0</v>
      </c>
    </row>
    <row r="7" spans="1:13">
      <c r="I7" s="52"/>
      <c r="J7" s="52"/>
      <c r="K7" s="52"/>
      <c r="L7" s="52"/>
      <c r="M7" s="52"/>
    </row>
    <row r="8" spans="1:13">
      <c r="A8" t="s">
        <v>439</v>
      </c>
      <c r="C8">
        <f>C30+C32+C33+C34</f>
        <v>0</v>
      </c>
      <c r="D8">
        <f>D30+D32+D33+D34</f>
        <v>13388.82</v>
      </c>
      <c r="E8">
        <f t="shared" ref="E8:G8" si="5">E30+E32+E33+E34</f>
        <v>0</v>
      </c>
      <c r="F8">
        <f t="shared" si="5"/>
        <v>14520.06</v>
      </c>
      <c r="G8">
        <f t="shared" si="5"/>
        <v>12257.57</v>
      </c>
      <c r="I8" s="52">
        <f t="shared" si="0"/>
        <v>0</v>
      </c>
      <c r="J8" s="52">
        <f t="shared" si="1"/>
        <v>164.658386124</v>
      </c>
      <c r="K8" s="52">
        <f t="shared" si="2"/>
        <v>0</v>
      </c>
      <c r="L8" s="52">
        <f t="shared" si="3"/>
        <v>157.08672111599998</v>
      </c>
      <c r="M8" s="52">
        <f t="shared" si="4"/>
        <v>150.746047374</v>
      </c>
    </row>
    <row r="9" spans="1:13">
      <c r="A9" t="s">
        <v>440</v>
      </c>
      <c r="I9" s="52">
        <f t="shared" si="0"/>
        <v>0</v>
      </c>
      <c r="J9" s="52">
        <f t="shared" si="1"/>
        <v>0</v>
      </c>
      <c r="K9" s="52">
        <f t="shared" si="2"/>
        <v>0</v>
      </c>
      <c r="L9" s="52">
        <f t="shared" si="3"/>
        <v>0</v>
      </c>
      <c r="M9" s="52">
        <f t="shared" si="4"/>
        <v>0</v>
      </c>
    </row>
    <row r="10" spans="1:13">
      <c r="A10" t="s">
        <v>441</v>
      </c>
      <c r="C10">
        <f>C37+C38</f>
        <v>0</v>
      </c>
      <c r="D10">
        <f>D37+D38</f>
        <v>23509.64</v>
      </c>
      <c r="E10">
        <f t="shared" ref="E10:G10" si="6">E37+E38</f>
        <v>0</v>
      </c>
      <c r="F10">
        <f t="shared" si="6"/>
        <v>25967.83</v>
      </c>
      <c r="G10">
        <f t="shared" si="6"/>
        <v>21051.43</v>
      </c>
      <c r="I10" s="52">
        <f t="shared" si="0"/>
        <v>0</v>
      </c>
      <c r="J10" s="52">
        <f t="shared" si="1"/>
        <v>289.12625464799999</v>
      </c>
      <c r="K10" s="52">
        <f t="shared" si="2"/>
        <v>0</v>
      </c>
      <c r="L10" s="52">
        <f t="shared" si="3"/>
        <v>280.93556563800001</v>
      </c>
      <c r="M10" s="52">
        <f t="shared" si="4"/>
        <v>258.894696426</v>
      </c>
    </row>
    <row r="11" spans="1:13">
      <c r="A11" t="s">
        <v>442</v>
      </c>
      <c r="C11">
        <f>SUM(C8:C10)</f>
        <v>0</v>
      </c>
      <c r="D11">
        <f>SUM(D8:D10)</f>
        <v>36898.46</v>
      </c>
      <c r="E11">
        <f t="shared" ref="E11:G11" si="7">SUM(E8:E10)</f>
        <v>0</v>
      </c>
      <c r="F11">
        <f t="shared" si="7"/>
        <v>40487.89</v>
      </c>
      <c r="G11">
        <f t="shared" si="7"/>
        <v>33309</v>
      </c>
      <c r="I11" s="52">
        <f t="shared" si="0"/>
        <v>0</v>
      </c>
      <c r="J11" s="52">
        <f t="shared" si="1"/>
        <v>453.78464077199999</v>
      </c>
      <c r="K11" s="52">
        <f t="shared" si="2"/>
        <v>0</v>
      </c>
      <c r="L11" s="52">
        <f t="shared" si="3"/>
        <v>438.02228675399999</v>
      </c>
      <c r="M11" s="52">
        <f t="shared" si="4"/>
        <v>409.6407438</v>
      </c>
    </row>
    <row r="12" spans="1:13">
      <c r="I12" s="52"/>
      <c r="J12" s="52"/>
      <c r="K12" s="52"/>
      <c r="L12" s="52"/>
      <c r="M12" s="52"/>
    </row>
    <row r="13" spans="1:13">
      <c r="A13" t="s">
        <v>443</v>
      </c>
      <c r="C13">
        <f>C45</f>
        <v>0</v>
      </c>
      <c r="D13">
        <f>D45</f>
        <v>600.05999999999995</v>
      </c>
      <c r="E13">
        <f t="shared" ref="E13:G13" si="8">E45</f>
        <v>0</v>
      </c>
      <c r="F13">
        <f t="shared" si="8"/>
        <v>800.11</v>
      </c>
      <c r="G13">
        <f t="shared" si="8"/>
        <v>400.02</v>
      </c>
      <c r="I13" s="52">
        <f t="shared" si="0"/>
        <v>0</v>
      </c>
      <c r="J13" s="52">
        <f t="shared" si="1"/>
        <v>7.379657892</v>
      </c>
      <c r="K13" s="52">
        <f t="shared" si="2"/>
        <v>0</v>
      </c>
      <c r="L13" s="52">
        <f t="shared" si="3"/>
        <v>8.656070046</v>
      </c>
      <c r="M13" s="52">
        <f t="shared" si="4"/>
        <v>4.919525964</v>
      </c>
    </row>
    <row r="14" spans="1:13">
      <c r="A14" t="s">
        <v>444</v>
      </c>
      <c r="C14">
        <f>C48</f>
        <v>0</v>
      </c>
      <c r="D14">
        <f>D48</f>
        <v>412.12</v>
      </c>
      <c r="E14">
        <f t="shared" ref="E14:G14" si="9">E48</f>
        <v>0</v>
      </c>
      <c r="F14">
        <f t="shared" si="9"/>
        <v>699.97</v>
      </c>
      <c r="G14">
        <f t="shared" si="9"/>
        <v>124.26</v>
      </c>
      <c r="I14" s="52">
        <f t="shared" si="0"/>
        <v>0</v>
      </c>
      <c r="J14" s="52">
        <f t="shared" si="1"/>
        <v>5.0683341840000002</v>
      </c>
      <c r="K14" s="52">
        <f t="shared" si="2"/>
        <v>0</v>
      </c>
      <c r="L14" s="52">
        <f t="shared" si="3"/>
        <v>7.5726954419999997</v>
      </c>
      <c r="M14" s="52">
        <f t="shared" si="4"/>
        <v>1.5281743320000001</v>
      </c>
    </row>
    <row r="15" spans="1:13">
      <c r="A15" t="s">
        <v>445</v>
      </c>
      <c r="I15" s="52">
        <f t="shared" si="0"/>
        <v>0</v>
      </c>
      <c r="J15" s="52">
        <f t="shared" si="1"/>
        <v>0</v>
      </c>
      <c r="K15" s="52">
        <f t="shared" si="2"/>
        <v>0</v>
      </c>
      <c r="L15" s="52">
        <f t="shared" si="3"/>
        <v>0</v>
      </c>
      <c r="M15" s="52">
        <f t="shared" si="4"/>
        <v>0</v>
      </c>
    </row>
    <row r="16" spans="1:13">
      <c r="A16" t="s">
        <v>446</v>
      </c>
      <c r="C16">
        <f>SUM(C13:C15)</f>
        <v>0</v>
      </c>
      <c r="D16">
        <f>SUM(D13:D15)</f>
        <v>1012.18</v>
      </c>
      <c r="E16">
        <f t="shared" ref="E16:G16" si="10">SUM(E13:E15)</f>
        <v>0</v>
      </c>
      <c r="F16">
        <f t="shared" si="10"/>
        <v>1500.08</v>
      </c>
      <c r="G16">
        <f t="shared" si="10"/>
        <v>524.28</v>
      </c>
      <c r="I16" s="52">
        <f t="shared" si="0"/>
        <v>0</v>
      </c>
      <c r="J16" s="52">
        <f t="shared" si="1"/>
        <v>12.447992076</v>
      </c>
      <c r="K16" s="52">
        <f t="shared" si="2"/>
        <v>0</v>
      </c>
      <c r="L16" s="52">
        <f t="shared" si="3"/>
        <v>16.228765487999997</v>
      </c>
      <c r="M16" s="52">
        <f t="shared" si="4"/>
        <v>6.4477002959999998</v>
      </c>
    </row>
    <row r="17" spans="1:13">
      <c r="I17" s="52"/>
      <c r="J17" s="52"/>
      <c r="K17" s="52"/>
      <c r="L17" s="52"/>
      <c r="M17" s="52"/>
    </row>
    <row r="18" spans="1:13">
      <c r="A18" t="s">
        <v>447</v>
      </c>
      <c r="C18" s="8">
        <f>C3+C8+C13</f>
        <v>0</v>
      </c>
      <c r="D18" s="8">
        <f>D3+D8+D13</f>
        <v>13988.88</v>
      </c>
      <c r="E18" s="8">
        <f t="shared" ref="D18:G20" si="11">E3+E8+E13</f>
        <v>0</v>
      </c>
      <c r="F18" s="8">
        <f t="shared" si="11"/>
        <v>15320.17</v>
      </c>
      <c r="G18" s="8">
        <f>G3+G8+G13</f>
        <v>12657.59</v>
      </c>
      <c r="I18" s="52">
        <f t="shared" si="0"/>
        <v>0</v>
      </c>
      <c r="J18" s="52">
        <f t="shared" si="1"/>
        <v>172.03804401599999</v>
      </c>
      <c r="K18" s="52">
        <f t="shared" si="2"/>
        <v>0</v>
      </c>
      <c r="L18" s="52">
        <f t="shared" si="3"/>
        <v>165.742791162</v>
      </c>
      <c r="M18" s="52">
        <f t="shared" si="4"/>
        <v>155.665573338</v>
      </c>
    </row>
    <row r="19" spans="1:13">
      <c r="A19" t="s">
        <v>448</v>
      </c>
      <c r="C19" s="8">
        <f>C4+C9+C14</f>
        <v>0</v>
      </c>
      <c r="D19" s="8">
        <f>D4+D9+D14</f>
        <v>412.12</v>
      </c>
      <c r="E19" s="8">
        <f t="shared" si="11"/>
        <v>0</v>
      </c>
      <c r="F19" s="8">
        <f t="shared" si="11"/>
        <v>699.97</v>
      </c>
      <c r="G19" s="8">
        <f>G4+G9+G14</f>
        <v>124.26</v>
      </c>
      <c r="I19" s="52">
        <f t="shared" si="0"/>
        <v>0</v>
      </c>
      <c r="J19" s="52">
        <f t="shared" si="1"/>
        <v>5.0683341840000002</v>
      </c>
      <c r="K19" s="52">
        <f t="shared" si="2"/>
        <v>0</v>
      </c>
      <c r="L19" s="52">
        <f t="shared" si="3"/>
        <v>7.5726954419999997</v>
      </c>
      <c r="M19" s="52">
        <f t="shared" si="4"/>
        <v>1.5281743320000001</v>
      </c>
    </row>
    <row r="20" spans="1:13">
      <c r="A20" t="s">
        <v>449</v>
      </c>
      <c r="C20" s="8">
        <f>C5+C10+C15</f>
        <v>0</v>
      </c>
      <c r="D20" s="8">
        <f t="shared" si="11"/>
        <v>23509.64</v>
      </c>
      <c r="E20" s="8">
        <f t="shared" si="11"/>
        <v>0</v>
      </c>
      <c r="F20" s="8">
        <f t="shared" si="11"/>
        <v>25967.83</v>
      </c>
      <c r="G20" s="8">
        <f t="shared" si="11"/>
        <v>21051.43</v>
      </c>
      <c r="I20" s="52">
        <f t="shared" si="0"/>
        <v>0</v>
      </c>
      <c r="J20" s="52">
        <f t="shared" si="1"/>
        <v>289.12625464799999</v>
      </c>
      <c r="K20" s="52">
        <f t="shared" si="2"/>
        <v>0</v>
      </c>
      <c r="L20" s="52">
        <f t="shared" si="3"/>
        <v>280.93556563800001</v>
      </c>
      <c r="M20" s="52">
        <f t="shared" si="4"/>
        <v>258.894696426</v>
      </c>
    </row>
    <row r="21" spans="1:13">
      <c r="A21" t="s">
        <v>525</v>
      </c>
      <c r="C21" s="8">
        <f>SUM(C18:C20)</f>
        <v>0</v>
      </c>
      <c r="D21" s="8">
        <f t="shared" ref="D21:F21" si="12">SUM(D18:D20)</f>
        <v>37910.639999999999</v>
      </c>
      <c r="E21" s="8">
        <f t="shared" si="12"/>
        <v>0</v>
      </c>
      <c r="F21" s="8">
        <f t="shared" si="12"/>
        <v>41987.97</v>
      </c>
      <c r="G21" s="8">
        <f>SUM(G18:G20)</f>
        <v>33833.279999999999</v>
      </c>
      <c r="I21" s="52">
        <f t="shared" si="0"/>
        <v>0</v>
      </c>
      <c r="J21" s="52">
        <f t="shared" si="1"/>
        <v>466.23263284800004</v>
      </c>
      <c r="K21" s="52">
        <f t="shared" si="2"/>
        <v>0</v>
      </c>
      <c r="L21" s="52">
        <f t="shared" si="3"/>
        <v>454.25105224200001</v>
      </c>
      <c r="M21" s="52">
        <f t="shared" si="4"/>
        <v>416.08844409599999</v>
      </c>
    </row>
    <row r="26" spans="1:13" ht="22">
      <c r="A26" s="17" t="s">
        <v>156</v>
      </c>
      <c r="B26" s="17"/>
      <c r="C26" s="17"/>
      <c r="D26" s="17"/>
      <c r="E26" s="17"/>
      <c r="F26" s="17"/>
      <c r="G26" s="17"/>
      <c r="H26" s="34"/>
      <c r="I26" s="17"/>
      <c r="J26" s="17"/>
    </row>
    <row r="27" spans="1:13" s="16" customFormat="1" ht="15">
      <c r="A27" s="15" t="s">
        <v>390</v>
      </c>
      <c r="B27" s="15" t="s">
        <v>391</v>
      </c>
      <c r="C27" s="15" t="s">
        <v>392</v>
      </c>
      <c r="D27" s="15" t="s">
        <v>393</v>
      </c>
      <c r="E27" s="15">
        <v>2008</v>
      </c>
      <c r="F27" s="15">
        <v>2009</v>
      </c>
      <c r="G27" s="18" t="s">
        <v>394</v>
      </c>
      <c r="H27" s="35"/>
      <c r="I27" s="20"/>
      <c r="J27" s="20"/>
    </row>
    <row r="28" spans="1:13" s="16" customFormat="1" ht="15">
      <c r="A28" s="21" t="s">
        <v>253</v>
      </c>
      <c r="B28" s="15"/>
      <c r="C28" s="15"/>
      <c r="D28" s="15"/>
      <c r="E28" s="15"/>
      <c r="F28" s="15"/>
      <c r="G28" s="19"/>
      <c r="H28" s="36"/>
      <c r="I28" s="15"/>
      <c r="J28" s="18"/>
    </row>
    <row r="29" spans="1:13" s="16" customFormat="1">
      <c r="A29" s="21" t="s">
        <v>84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3" ht="15">
      <c r="A30" s="21" t="s">
        <v>246</v>
      </c>
      <c r="B30" s="15" t="s">
        <v>251</v>
      </c>
      <c r="C30" s="15"/>
      <c r="D30" s="15">
        <v>743.54</v>
      </c>
      <c r="E30" s="22"/>
      <c r="F30" s="15">
        <v>777.08</v>
      </c>
      <c r="G30" s="19">
        <v>710</v>
      </c>
      <c r="H30" s="36" t="s">
        <v>491</v>
      </c>
      <c r="I30" s="15"/>
      <c r="J30" s="18"/>
    </row>
    <row r="31" spans="1:13" ht="15">
      <c r="A31" s="21" t="s">
        <v>247</v>
      </c>
      <c r="B31" s="15"/>
      <c r="C31" s="15"/>
      <c r="D31" s="20"/>
      <c r="E31" s="20"/>
      <c r="F31" s="15"/>
      <c r="G31" s="19"/>
      <c r="H31" s="36"/>
      <c r="I31" s="15"/>
      <c r="J31" s="18"/>
    </row>
    <row r="32" spans="1:13" ht="15">
      <c r="A32" s="21" t="s">
        <v>248</v>
      </c>
      <c r="B32" s="15"/>
      <c r="C32" s="15"/>
      <c r="D32" s="15">
        <v>700.85</v>
      </c>
      <c r="E32" s="22"/>
      <c r="F32" s="15">
        <v>1100.9100000000001</v>
      </c>
      <c r="G32" s="19">
        <v>300.79000000000002</v>
      </c>
      <c r="H32" s="36" t="s">
        <v>491</v>
      </c>
      <c r="I32" s="15"/>
      <c r="J32" s="18"/>
    </row>
    <row r="33" spans="1:10" ht="15">
      <c r="A33" s="21" t="s">
        <v>249</v>
      </c>
      <c r="B33" s="15"/>
      <c r="C33" s="15"/>
      <c r="D33" s="15">
        <v>10269.4</v>
      </c>
      <c r="E33" s="22"/>
      <c r="F33" s="15">
        <v>10942.02</v>
      </c>
      <c r="G33" s="19">
        <v>9596.7800000000007</v>
      </c>
      <c r="H33" s="36" t="s">
        <v>491</v>
      </c>
      <c r="I33" s="15"/>
      <c r="J33" s="18"/>
    </row>
    <row r="34" spans="1:10" ht="15">
      <c r="A34" s="21" t="s">
        <v>250</v>
      </c>
      <c r="B34" s="15"/>
      <c r="C34" s="15"/>
      <c r="D34" s="15">
        <v>1675.03</v>
      </c>
      <c r="E34" s="22"/>
      <c r="F34" s="15">
        <v>1700.05</v>
      </c>
      <c r="G34" s="19">
        <v>1650</v>
      </c>
      <c r="H34" s="36" t="s">
        <v>491</v>
      </c>
      <c r="I34" s="15"/>
      <c r="J34" s="18"/>
    </row>
    <row r="35" spans="1:10" ht="15">
      <c r="A35" s="21" t="s">
        <v>252</v>
      </c>
      <c r="B35" s="19"/>
      <c r="C35" s="19"/>
      <c r="D35" s="19"/>
      <c r="E35" s="19"/>
      <c r="F35" s="19"/>
      <c r="G35" s="19"/>
      <c r="H35" s="35"/>
      <c r="I35" s="19"/>
      <c r="J35" s="19"/>
    </row>
    <row r="36" spans="1:10" ht="15">
      <c r="A36" s="21" t="s">
        <v>155</v>
      </c>
      <c r="B36" s="19"/>
      <c r="C36" s="19"/>
      <c r="D36" s="19"/>
      <c r="E36" s="19"/>
      <c r="F36" s="19"/>
      <c r="G36" s="19"/>
      <c r="H36" s="35"/>
      <c r="I36" s="19"/>
      <c r="J36" s="19"/>
    </row>
    <row r="37" spans="1:10">
      <c r="A37" s="15" t="s">
        <v>157</v>
      </c>
      <c r="B37" s="15" t="s">
        <v>83</v>
      </c>
      <c r="C37" s="15"/>
      <c r="D37" s="20">
        <v>12200.49</v>
      </c>
      <c r="E37" s="15"/>
      <c r="F37" s="15">
        <v>15206.88</v>
      </c>
      <c r="G37" s="15">
        <v>9194.09</v>
      </c>
      <c r="H37" s="36" t="s">
        <v>491</v>
      </c>
      <c r="I37" s="20"/>
      <c r="J37" s="20"/>
    </row>
    <row r="38" spans="1:10">
      <c r="A38" s="15" t="s">
        <v>82</v>
      </c>
      <c r="B38" s="15" t="s">
        <v>83</v>
      </c>
      <c r="C38" s="15"/>
      <c r="D38" s="15">
        <v>11309.15</v>
      </c>
      <c r="E38" s="15"/>
      <c r="F38" s="15">
        <v>10760.95</v>
      </c>
      <c r="G38" s="15">
        <v>11857.34</v>
      </c>
      <c r="H38" s="36" t="s">
        <v>491</v>
      </c>
      <c r="I38" s="15"/>
      <c r="J38" s="15"/>
    </row>
    <row r="39" spans="1:10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>
      <c r="A41" s="23" t="s">
        <v>183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">
      <c r="A42" s="1" t="s">
        <v>182</v>
      </c>
      <c r="B42" s="1" t="s">
        <v>481</v>
      </c>
      <c r="C42" s="1" t="s">
        <v>482</v>
      </c>
      <c r="D42" s="1" t="s">
        <v>483</v>
      </c>
      <c r="E42" s="1">
        <v>2008</v>
      </c>
      <c r="F42" s="1">
        <v>2009</v>
      </c>
      <c r="G42" s="1" t="s">
        <v>484</v>
      </c>
      <c r="H42" s="29"/>
    </row>
    <row r="43" spans="1:10">
      <c r="A43" s="28" t="s">
        <v>485</v>
      </c>
      <c r="B43" s="28"/>
      <c r="C43" s="28"/>
      <c r="D43" s="28"/>
      <c r="E43" s="28"/>
      <c r="F43" s="28"/>
      <c r="G43" s="28"/>
      <c r="H43" s="28"/>
    </row>
    <row r="44" spans="1:10">
      <c r="A44" s="27" t="s">
        <v>431</v>
      </c>
      <c r="B44" s="27"/>
      <c r="C44" s="27"/>
      <c r="D44" s="27"/>
      <c r="E44" s="27"/>
      <c r="F44" s="27"/>
      <c r="G44" s="27"/>
      <c r="H44" s="27"/>
    </row>
    <row r="45" spans="1:10">
      <c r="A45" s="1" t="s">
        <v>254</v>
      </c>
      <c r="B45" s="1" t="s">
        <v>311</v>
      </c>
      <c r="C45" s="1"/>
      <c r="D45" s="1">
        <v>600.05999999999995</v>
      </c>
      <c r="E45" s="1"/>
      <c r="F45" s="1">
        <v>800.11</v>
      </c>
      <c r="G45" s="1">
        <v>400.02</v>
      </c>
      <c r="H45" s="36" t="s">
        <v>491</v>
      </c>
    </row>
    <row r="46" spans="1:10">
      <c r="A46" s="28" t="s">
        <v>434</v>
      </c>
      <c r="B46" s="28"/>
      <c r="C46" s="28"/>
      <c r="D46" s="28"/>
      <c r="E46" s="28"/>
      <c r="F46" s="28"/>
      <c r="G46" s="28"/>
      <c r="H46" s="28"/>
    </row>
    <row r="47" spans="1:10">
      <c r="A47" s="27" t="s">
        <v>435</v>
      </c>
      <c r="B47" s="27"/>
      <c r="C47" s="27"/>
      <c r="D47" s="27"/>
      <c r="E47" s="27"/>
      <c r="F47" s="27"/>
      <c r="G47" s="27"/>
      <c r="H47" s="27"/>
    </row>
    <row r="48" spans="1:10">
      <c r="A48" s="1" t="s">
        <v>181</v>
      </c>
      <c r="B48" s="1" t="s">
        <v>311</v>
      </c>
      <c r="C48" s="1"/>
      <c r="D48" s="1">
        <v>412.12</v>
      </c>
      <c r="E48" s="1"/>
      <c r="F48" s="1">
        <v>699.97</v>
      </c>
      <c r="G48" s="1">
        <v>124.26</v>
      </c>
      <c r="H48" s="36" t="s">
        <v>491</v>
      </c>
    </row>
    <row r="49" spans="1:8">
      <c r="A49" s="28" t="s">
        <v>349</v>
      </c>
      <c r="B49" s="28"/>
      <c r="C49" s="28"/>
      <c r="D49" s="28"/>
      <c r="E49" s="28"/>
      <c r="F49" s="28"/>
      <c r="G49" s="28"/>
      <c r="H49" s="28"/>
    </row>
  </sheetData>
  <mergeCells count="1">
    <mergeCell ref="I1:J1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19" workbookViewId="0">
      <selection activeCell="D63" sqref="D63"/>
    </sheetView>
  </sheetViews>
  <sheetFormatPr baseColWidth="10" defaultRowHeight="13" x14ac:dyDescent="0"/>
  <cols>
    <col min="1" max="1" width="35.5703125" customWidth="1"/>
    <col min="8" max="8" width="9.85546875" style="16" customWidth="1"/>
  </cols>
  <sheetData>
    <row r="1" spans="1:13">
      <c r="A1" s="26" t="s">
        <v>507</v>
      </c>
      <c r="I1" s="26" t="s">
        <v>461</v>
      </c>
      <c r="J1" s="26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C3" s="58">
        <f>C29+C31+C33+C35</f>
        <v>172738.01</v>
      </c>
      <c r="D3" s="58">
        <f t="shared" ref="D3:G3" si="0">D29+D31+D33+D35</f>
        <v>192218.33</v>
      </c>
      <c r="E3" s="58">
        <f t="shared" si="0"/>
        <v>202967</v>
      </c>
      <c r="F3" s="58">
        <f t="shared" si="0"/>
        <v>186844</v>
      </c>
      <c r="G3" s="58">
        <f t="shared" si="0"/>
        <v>186844</v>
      </c>
      <c r="I3" s="50">
        <f>C3*0.000842957</f>
        <v>145.61071469557001</v>
      </c>
      <c r="J3" s="50">
        <f>D3*0.000891361</f>
        <v>171.33592284712998</v>
      </c>
      <c r="K3" s="50">
        <f>E3*0.000792393</f>
        <v>160.82963003099999</v>
      </c>
      <c r="L3" s="50">
        <f>F3*0.0008642</f>
        <v>161.47058479999998</v>
      </c>
      <c r="M3" s="50">
        <f>G3*0.000891361</f>
        <v>166.54545468399999</v>
      </c>
    </row>
    <row r="4" spans="1:13">
      <c r="A4" t="s">
        <v>436</v>
      </c>
      <c r="C4" s="58">
        <f>C38+C39</f>
        <v>45861.5</v>
      </c>
      <c r="D4" s="58">
        <f t="shared" ref="D4:G4" si="1">D38+D39</f>
        <v>20536.330000000002</v>
      </c>
      <c r="E4" s="58">
        <f t="shared" si="1"/>
        <v>19393</v>
      </c>
      <c r="F4" s="58">
        <f>F38+F39</f>
        <v>21108</v>
      </c>
      <c r="G4" s="58">
        <f t="shared" si="1"/>
        <v>21108</v>
      </c>
      <c r="I4" s="50">
        <f t="shared" ref="I4:I21" si="2">C4*0.000842957</f>
        <v>38.659272455500002</v>
      </c>
      <c r="J4" s="50">
        <f t="shared" ref="J4:J21" si="3">D4*0.000891361</f>
        <v>18.30528364513</v>
      </c>
      <c r="K4" s="50">
        <f t="shared" ref="K4:K21" si="4">E4*0.000792393</f>
        <v>15.366877448999999</v>
      </c>
      <c r="L4" s="50">
        <f t="shared" ref="L4:L21" si="5">F4*0.0008642</f>
        <v>18.2415336</v>
      </c>
      <c r="M4" s="50">
        <f t="shared" ref="M4:M21" si="6">G4*0.000891361</f>
        <v>18.814847988</v>
      </c>
    </row>
    <row r="5" spans="1:13">
      <c r="A5" t="s">
        <v>437</v>
      </c>
      <c r="C5" s="58">
        <f>C41+C42+C43+C44</f>
        <v>154689.05000000002</v>
      </c>
      <c r="D5" s="58">
        <f t="shared" ref="D5:G5" si="7">D41+D42+D43+D44</f>
        <v>161454.89000000001</v>
      </c>
      <c r="E5" s="58">
        <f t="shared" si="7"/>
        <v>189578.08</v>
      </c>
      <c r="F5" s="58">
        <f t="shared" si="7"/>
        <v>147393.29</v>
      </c>
      <c r="G5" s="58">
        <f t="shared" si="7"/>
        <v>147393.29</v>
      </c>
      <c r="I5" s="50">
        <f t="shared" si="2"/>
        <v>130.39621752085</v>
      </c>
      <c r="J5" s="50">
        <f t="shared" si="3"/>
        <v>143.91459220529001</v>
      </c>
      <c r="K5" s="50">
        <f t="shared" si="4"/>
        <v>150.22034354543999</v>
      </c>
      <c r="L5" s="50">
        <f t="shared" si="5"/>
        <v>127.37728121800001</v>
      </c>
      <c r="M5" s="50">
        <f t="shared" si="6"/>
        <v>131.38063036769</v>
      </c>
    </row>
    <row r="6" spans="1:13">
      <c r="A6" t="s">
        <v>438</v>
      </c>
      <c r="C6" s="58">
        <f>SUM(C3:C5)</f>
        <v>373288.56000000006</v>
      </c>
      <c r="D6" s="58">
        <f t="shared" ref="D6:G6" si="8">SUM(D3:D5)</f>
        <v>374209.55</v>
      </c>
      <c r="E6" s="58">
        <f t="shared" si="8"/>
        <v>411938.07999999996</v>
      </c>
      <c r="F6" s="58">
        <f t="shared" si="8"/>
        <v>355345.29000000004</v>
      </c>
      <c r="G6" s="58">
        <f t="shared" si="8"/>
        <v>355345.29000000004</v>
      </c>
      <c r="I6" s="50">
        <f t="shared" si="2"/>
        <v>314.66620467192001</v>
      </c>
      <c r="J6" s="50">
        <f t="shared" si="3"/>
        <v>333.55579869755002</v>
      </c>
      <c r="K6" s="50">
        <f t="shared" si="4"/>
        <v>326.41685102543994</v>
      </c>
      <c r="L6" s="50">
        <f t="shared" si="5"/>
        <v>307.08939961800002</v>
      </c>
      <c r="M6" s="50">
        <f t="shared" si="6"/>
        <v>316.74093303969005</v>
      </c>
    </row>
    <row r="7" spans="1:13">
      <c r="C7" s="58"/>
      <c r="D7" s="58"/>
      <c r="E7" s="58"/>
      <c r="F7" s="58"/>
      <c r="G7" s="58"/>
      <c r="I7" s="50"/>
      <c r="J7" s="50"/>
      <c r="K7" s="50"/>
      <c r="L7" s="50"/>
      <c r="M7" s="50"/>
    </row>
    <row r="8" spans="1:13">
      <c r="A8" t="s">
        <v>439</v>
      </c>
      <c r="C8" s="58"/>
      <c r="D8" s="58"/>
      <c r="E8" s="58"/>
      <c r="F8" s="58"/>
      <c r="G8" s="58"/>
      <c r="I8" s="50">
        <f t="shared" si="2"/>
        <v>0</v>
      </c>
      <c r="J8" s="50">
        <f t="shared" si="3"/>
        <v>0</v>
      </c>
      <c r="K8" s="50">
        <f t="shared" si="4"/>
        <v>0</v>
      </c>
      <c r="L8" s="50">
        <f t="shared" si="5"/>
        <v>0</v>
      </c>
      <c r="M8" s="50">
        <f t="shared" si="6"/>
        <v>0</v>
      </c>
    </row>
    <row r="9" spans="1:13">
      <c r="A9" t="s">
        <v>440</v>
      </c>
      <c r="C9" s="58">
        <f>C52+C53+C54+C55+C56+C57+C58+C59</f>
        <v>557872</v>
      </c>
      <c r="D9" s="58">
        <f t="shared" ref="D9:G9" si="9">D52+D53+D54+D55+D56+D57+D58+D59</f>
        <v>1825896</v>
      </c>
      <c r="E9" s="58">
        <f t="shared" si="9"/>
        <v>1733130</v>
      </c>
      <c r="F9" s="58">
        <f>F52+F53+F54+F55+F56+F57+F58+F59</f>
        <v>1872279</v>
      </c>
      <c r="G9" s="58">
        <f t="shared" si="9"/>
        <v>1872279</v>
      </c>
      <c r="I9" s="50">
        <f t="shared" si="2"/>
        <v>470.26210750399997</v>
      </c>
      <c r="J9" s="50">
        <f>D9*0.000891361</f>
        <v>1627.532484456</v>
      </c>
      <c r="K9" s="50">
        <f t="shared" si="4"/>
        <v>1373.3200800899999</v>
      </c>
      <c r="L9" s="50">
        <f t="shared" si="5"/>
        <v>1618.0235118000001</v>
      </c>
      <c r="M9" s="50">
        <f t="shared" si="6"/>
        <v>1668.8764817190001</v>
      </c>
    </row>
    <row r="10" spans="1:13">
      <c r="A10" t="s">
        <v>441</v>
      </c>
      <c r="C10" s="58">
        <f>C61+C62</f>
        <v>4162.8599999999997</v>
      </c>
      <c r="D10" s="58">
        <f t="shared" ref="D10:G10" si="10">D61+D62</f>
        <v>2181.58</v>
      </c>
      <c r="E10" s="58">
        <f t="shared" si="10"/>
        <v>2155.67</v>
      </c>
      <c r="F10" s="58">
        <f t="shared" si="10"/>
        <v>2194.5500000000002</v>
      </c>
      <c r="G10" s="58">
        <f t="shared" si="10"/>
        <v>2194.5500000000002</v>
      </c>
      <c r="I10" s="50">
        <f t="shared" si="2"/>
        <v>3.5091119770199994</v>
      </c>
      <c r="J10" s="50">
        <f t="shared" si="3"/>
        <v>1.94457533038</v>
      </c>
      <c r="K10" s="50">
        <f t="shared" si="4"/>
        <v>1.70813781831</v>
      </c>
      <c r="L10" s="50">
        <f t="shared" si="5"/>
        <v>1.89653011</v>
      </c>
      <c r="M10" s="50">
        <f t="shared" si="6"/>
        <v>1.9561362825500002</v>
      </c>
    </row>
    <row r="11" spans="1:13">
      <c r="A11" t="s">
        <v>442</v>
      </c>
      <c r="C11" s="58">
        <f>SUM(C8:C10)</f>
        <v>562034.86</v>
      </c>
      <c r="D11" s="58">
        <f t="shared" ref="D11:G11" si="11">SUM(D8:D10)</f>
        <v>1828077.58</v>
      </c>
      <c r="E11" s="58">
        <f t="shared" si="11"/>
        <v>1735285.67</v>
      </c>
      <c r="F11" s="58">
        <f t="shared" si="11"/>
        <v>1874473.55</v>
      </c>
      <c r="G11" s="58">
        <f t="shared" si="11"/>
        <v>1874473.55</v>
      </c>
      <c r="I11" s="50">
        <f t="shared" si="2"/>
        <v>473.77121948101995</v>
      </c>
      <c r="J11" s="50">
        <f t="shared" si="3"/>
        <v>1629.4770597863801</v>
      </c>
      <c r="K11" s="50">
        <f t="shared" si="4"/>
        <v>1375.0282179083099</v>
      </c>
      <c r="L11" s="50">
        <f t="shared" si="5"/>
        <v>1619.92004191</v>
      </c>
      <c r="M11" s="50">
        <f t="shared" si="6"/>
        <v>1670.8326180015501</v>
      </c>
    </row>
    <row r="12" spans="1:13">
      <c r="C12" s="58"/>
      <c r="D12" s="58"/>
      <c r="E12" s="58"/>
      <c r="F12" s="58"/>
      <c r="G12" s="58"/>
      <c r="I12" s="50"/>
      <c r="J12" s="50"/>
      <c r="K12" s="50"/>
      <c r="L12" s="50"/>
      <c r="M12" s="50"/>
    </row>
    <row r="13" spans="1:13">
      <c r="A13" t="s">
        <v>443</v>
      </c>
      <c r="C13" s="58"/>
      <c r="D13" s="58"/>
      <c r="E13" s="58"/>
      <c r="F13" s="58"/>
      <c r="G13" s="58"/>
      <c r="I13" s="50">
        <f t="shared" si="2"/>
        <v>0</v>
      </c>
      <c r="J13" s="50">
        <f t="shared" si="3"/>
        <v>0</v>
      </c>
      <c r="K13" s="50">
        <f t="shared" si="4"/>
        <v>0</v>
      </c>
      <c r="L13" s="50">
        <f t="shared" si="5"/>
        <v>0</v>
      </c>
      <c r="M13" s="50">
        <f t="shared" si="6"/>
        <v>0</v>
      </c>
    </row>
    <row r="14" spans="1:13">
      <c r="A14" t="s">
        <v>444</v>
      </c>
      <c r="C14" s="58"/>
      <c r="D14" s="58"/>
      <c r="E14" s="58"/>
      <c r="F14" s="58"/>
      <c r="G14" s="58"/>
      <c r="I14" s="50">
        <f t="shared" si="2"/>
        <v>0</v>
      </c>
      <c r="J14" s="50">
        <f t="shared" si="3"/>
        <v>0</v>
      </c>
      <c r="K14" s="50">
        <f t="shared" si="4"/>
        <v>0</v>
      </c>
      <c r="L14" s="50">
        <f t="shared" si="5"/>
        <v>0</v>
      </c>
      <c r="M14" s="50">
        <f t="shared" si="6"/>
        <v>0</v>
      </c>
    </row>
    <row r="15" spans="1:13">
      <c r="A15" t="s">
        <v>445</v>
      </c>
      <c r="C15" s="58">
        <f>C70+C71</f>
        <v>13632.099999999999</v>
      </c>
      <c r="D15" s="58">
        <f t="shared" ref="D15:G15" si="12">D70+D71</f>
        <v>20293.53</v>
      </c>
      <c r="E15" s="58">
        <f t="shared" si="12"/>
        <v>20086.25</v>
      </c>
      <c r="F15" s="58">
        <f t="shared" si="12"/>
        <v>20397.170000000002</v>
      </c>
      <c r="G15" s="58">
        <f t="shared" si="12"/>
        <v>20397.170000000002</v>
      </c>
      <c r="I15" s="50">
        <f t="shared" si="2"/>
        <v>11.491274119699998</v>
      </c>
      <c r="J15" s="50">
        <f t="shared" si="3"/>
        <v>18.088861194330001</v>
      </c>
      <c r="K15" s="50">
        <f t="shared" si="4"/>
        <v>15.91620389625</v>
      </c>
      <c r="L15" s="50">
        <f t="shared" si="5"/>
        <v>17.627234314000003</v>
      </c>
      <c r="M15" s="50">
        <f t="shared" si="6"/>
        <v>18.181241848370004</v>
      </c>
    </row>
    <row r="16" spans="1:13">
      <c r="A16" t="s">
        <v>446</v>
      </c>
      <c r="C16" s="58">
        <f>SUM(C13:C15)</f>
        <v>13632.099999999999</v>
      </c>
      <c r="D16" s="58">
        <f t="shared" ref="D16:G16" si="13">SUM(D13:D15)</f>
        <v>20293.53</v>
      </c>
      <c r="E16" s="58">
        <f t="shared" si="13"/>
        <v>20086.25</v>
      </c>
      <c r="F16" s="58">
        <f t="shared" si="13"/>
        <v>20397.170000000002</v>
      </c>
      <c r="G16" s="58">
        <f t="shared" si="13"/>
        <v>20397.170000000002</v>
      </c>
      <c r="I16" s="50">
        <f t="shared" si="2"/>
        <v>11.491274119699998</v>
      </c>
      <c r="J16" s="50">
        <f t="shared" si="3"/>
        <v>18.088861194330001</v>
      </c>
      <c r="K16" s="50">
        <f t="shared" si="4"/>
        <v>15.91620389625</v>
      </c>
      <c r="L16" s="50">
        <f t="shared" si="5"/>
        <v>17.627234314000003</v>
      </c>
      <c r="M16" s="50">
        <f t="shared" si="6"/>
        <v>18.181241848370004</v>
      </c>
    </row>
    <row r="17" spans="1:13">
      <c r="C17" s="58"/>
      <c r="D17" s="58"/>
      <c r="E17" s="58"/>
      <c r="F17" s="58"/>
      <c r="G17" s="58"/>
      <c r="I17" s="50"/>
      <c r="J17" s="50"/>
      <c r="K17" s="50"/>
      <c r="L17" s="50"/>
      <c r="M17" s="50"/>
    </row>
    <row r="18" spans="1:13">
      <c r="A18" t="s">
        <v>447</v>
      </c>
      <c r="C18" s="59">
        <f>C3+C8+C13</f>
        <v>172738.01</v>
      </c>
      <c r="D18" s="59">
        <f>D3+D8+D13</f>
        <v>192218.33</v>
      </c>
      <c r="E18" s="59">
        <f t="shared" ref="D18:G20" si="14">E3+E8+E13</f>
        <v>202967</v>
      </c>
      <c r="F18" s="59">
        <f t="shared" si="14"/>
        <v>186844</v>
      </c>
      <c r="G18" s="59">
        <f>G3+G8+G13</f>
        <v>186844</v>
      </c>
      <c r="I18" s="50">
        <f>C18*0.000842957</f>
        <v>145.61071469557001</v>
      </c>
      <c r="J18" s="50">
        <f>D18*0.000891361</f>
        <v>171.33592284712998</v>
      </c>
      <c r="K18" s="50">
        <f>E18*0.000792393</f>
        <v>160.82963003099999</v>
      </c>
      <c r="L18" s="50">
        <f t="shared" si="5"/>
        <v>161.47058479999998</v>
      </c>
      <c r="M18" s="50">
        <f t="shared" si="6"/>
        <v>166.54545468399999</v>
      </c>
    </row>
    <row r="19" spans="1:13">
      <c r="A19" t="s">
        <v>448</v>
      </c>
      <c r="C19" s="59">
        <f>C4+C9+C14</f>
        <v>603733.5</v>
      </c>
      <c r="D19" s="59">
        <f>D4+D9+D14</f>
        <v>1846432.33</v>
      </c>
      <c r="E19" s="59">
        <f t="shared" si="14"/>
        <v>1752523</v>
      </c>
      <c r="F19" s="59">
        <f>F4+F9+F14</f>
        <v>1893387</v>
      </c>
      <c r="G19" s="59">
        <f>G4+G9+G14</f>
        <v>1893387</v>
      </c>
      <c r="I19" s="50">
        <f t="shared" si="2"/>
        <v>508.92137995949997</v>
      </c>
      <c r="J19" s="50">
        <f>D19*0.000891361</f>
        <v>1645.83776810113</v>
      </c>
      <c r="K19" s="50">
        <f t="shared" si="4"/>
        <v>1388.6869575389999</v>
      </c>
      <c r="L19" s="50">
        <f t="shared" si="5"/>
        <v>1636.2650454</v>
      </c>
      <c r="M19" s="50">
        <f t="shared" si="6"/>
        <v>1687.691329707</v>
      </c>
    </row>
    <row r="20" spans="1:13">
      <c r="A20" t="s">
        <v>449</v>
      </c>
      <c r="C20" s="59">
        <f>C5+C10+C15</f>
        <v>172484.01</v>
      </c>
      <c r="D20" s="59">
        <f t="shared" si="14"/>
        <v>183930</v>
      </c>
      <c r="E20" s="59">
        <f t="shared" si="14"/>
        <v>211820</v>
      </c>
      <c r="F20" s="59">
        <f t="shared" si="14"/>
        <v>169985.01</v>
      </c>
      <c r="G20" s="59">
        <f t="shared" si="14"/>
        <v>169985.01</v>
      </c>
      <c r="I20" s="50">
        <f t="shared" si="2"/>
        <v>145.39660361757001</v>
      </c>
      <c r="J20" s="50">
        <f t="shared" si="3"/>
        <v>163.94802873</v>
      </c>
      <c r="K20" s="50">
        <f t="shared" si="4"/>
        <v>167.84468526000001</v>
      </c>
      <c r="L20" s="50">
        <f t="shared" si="5"/>
        <v>146.90104564200001</v>
      </c>
      <c r="M20" s="50">
        <f t="shared" si="6"/>
        <v>151.51800849861002</v>
      </c>
    </row>
    <row r="21" spans="1:13">
      <c r="A21" t="s">
        <v>525</v>
      </c>
      <c r="C21" s="59">
        <f>SUM(C18:C20)</f>
        <v>948955.52</v>
      </c>
      <c r="D21" s="59">
        <f t="shared" ref="D21:F21" si="15">SUM(D18:D20)</f>
        <v>2222580.66</v>
      </c>
      <c r="E21" s="59">
        <f t="shared" si="15"/>
        <v>2167310</v>
      </c>
      <c r="F21" s="59">
        <f t="shared" si="15"/>
        <v>2250216.0099999998</v>
      </c>
      <c r="G21" s="59">
        <f>SUM(G18:G20)</f>
        <v>2250216.0099999998</v>
      </c>
      <c r="I21" s="50">
        <f t="shared" si="2"/>
        <v>799.92869827263996</v>
      </c>
      <c r="J21" s="50">
        <f t="shared" si="3"/>
        <v>1981.1217196782602</v>
      </c>
      <c r="K21" s="50">
        <f t="shared" si="4"/>
        <v>1717.36127283</v>
      </c>
      <c r="L21" s="50">
        <f t="shared" si="5"/>
        <v>1944.6366758419997</v>
      </c>
      <c r="M21" s="50">
        <f t="shared" si="6"/>
        <v>2005.7547928896099</v>
      </c>
    </row>
    <row r="25" spans="1:13">
      <c r="A25" s="5" t="s">
        <v>110</v>
      </c>
    </row>
    <row r="26" spans="1:13" ht="15">
      <c r="A26" s="1" t="s">
        <v>149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485</v>
      </c>
      <c r="B27" s="28"/>
      <c r="C27" s="28"/>
      <c r="D27" s="28"/>
      <c r="E27" s="28"/>
      <c r="F27" s="28"/>
      <c r="G27" s="28"/>
      <c r="H27" s="28"/>
    </row>
    <row r="28" spans="1:13">
      <c r="A28" s="27" t="s">
        <v>486</v>
      </c>
      <c r="B28" s="27"/>
      <c r="C28" s="27"/>
      <c r="D28" s="27"/>
      <c r="E28" s="27"/>
      <c r="F28" s="27"/>
      <c r="G28" s="27"/>
      <c r="H28" s="27"/>
    </row>
    <row r="29" spans="1:13" ht="15">
      <c r="A29" s="1" t="s">
        <v>209</v>
      </c>
      <c r="B29" s="60" t="s">
        <v>311</v>
      </c>
      <c r="C29" s="60">
        <v>122830.34</v>
      </c>
      <c r="D29" s="60">
        <v>36020.33</v>
      </c>
      <c r="E29" s="60">
        <v>59595</v>
      </c>
      <c r="F29" s="60">
        <v>24233</v>
      </c>
      <c r="G29" s="60">
        <v>24233</v>
      </c>
      <c r="H29" s="29"/>
    </row>
    <row r="30" spans="1:13">
      <c r="A30" s="27" t="s">
        <v>361</v>
      </c>
      <c r="B30" s="61"/>
      <c r="C30" s="61"/>
      <c r="D30" s="61"/>
      <c r="E30" s="61"/>
      <c r="F30" s="61"/>
      <c r="G30" s="61"/>
      <c r="H30" s="27"/>
    </row>
    <row r="31" spans="1:13" ht="15">
      <c r="A31" s="1" t="s">
        <v>210</v>
      </c>
      <c r="B31" s="60" t="s">
        <v>311</v>
      </c>
      <c r="C31" s="60"/>
      <c r="D31" s="60"/>
      <c r="E31" s="60"/>
      <c r="F31" s="60"/>
      <c r="G31" s="60"/>
      <c r="H31" s="29" t="s">
        <v>584</v>
      </c>
    </row>
    <row r="32" spans="1:13">
      <c r="A32" s="27" t="s">
        <v>238</v>
      </c>
      <c r="B32" s="61"/>
      <c r="C32" s="61"/>
      <c r="D32" s="61"/>
      <c r="E32" s="61"/>
      <c r="F32" s="61"/>
      <c r="G32" s="61"/>
      <c r="H32" s="27"/>
    </row>
    <row r="33" spans="1:8" ht="15">
      <c r="A33" s="1" t="s">
        <v>211</v>
      </c>
      <c r="B33" s="60" t="s">
        <v>311</v>
      </c>
      <c r="C33" s="60">
        <v>48340.67</v>
      </c>
      <c r="D33" s="60">
        <v>145376.32999999999</v>
      </c>
      <c r="E33" s="60">
        <v>133687</v>
      </c>
      <c r="F33" s="60">
        <v>151221</v>
      </c>
      <c r="G33" s="60">
        <v>151221</v>
      </c>
      <c r="H33" s="29"/>
    </row>
    <row r="34" spans="1:8">
      <c r="A34" s="27" t="s">
        <v>431</v>
      </c>
      <c r="B34" s="61"/>
      <c r="C34" s="61"/>
      <c r="D34" s="61"/>
      <c r="E34" s="61"/>
      <c r="F34" s="61"/>
      <c r="G34" s="61"/>
      <c r="H34" s="27"/>
    </row>
    <row r="35" spans="1:8" ht="15">
      <c r="A35" s="1" t="s">
        <v>212</v>
      </c>
      <c r="B35" s="60" t="s">
        <v>311</v>
      </c>
      <c r="C35" s="60">
        <v>1567</v>
      </c>
      <c r="D35" s="60">
        <v>10821.67</v>
      </c>
      <c r="E35" s="60">
        <v>9685</v>
      </c>
      <c r="F35" s="60">
        <v>11390</v>
      </c>
      <c r="G35" s="60">
        <v>11390</v>
      </c>
      <c r="H35" s="29"/>
    </row>
    <row r="36" spans="1:8">
      <c r="A36" s="28" t="s">
        <v>434</v>
      </c>
      <c r="B36" s="62"/>
      <c r="C36" s="62"/>
      <c r="D36" s="62"/>
      <c r="E36" s="62"/>
      <c r="F36" s="62"/>
      <c r="G36" s="62"/>
      <c r="H36" s="28"/>
    </row>
    <row r="37" spans="1:8">
      <c r="A37" s="27" t="s">
        <v>435</v>
      </c>
      <c r="B37" s="61"/>
      <c r="C37" s="61"/>
      <c r="D37" s="61"/>
      <c r="E37" s="61"/>
      <c r="F37" s="61"/>
      <c r="G37" s="61"/>
      <c r="H37" s="27"/>
    </row>
    <row r="38" spans="1:8" ht="15">
      <c r="A38" s="1" t="s">
        <v>213</v>
      </c>
      <c r="B38" s="60" t="s">
        <v>311</v>
      </c>
      <c r="C38" s="60">
        <v>6226</v>
      </c>
      <c r="D38" s="60">
        <v>20536.330000000002</v>
      </c>
      <c r="E38" s="60">
        <v>19393</v>
      </c>
      <c r="F38" s="60">
        <v>21108</v>
      </c>
      <c r="G38" s="60">
        <v>21108</v>
      </c>
      <c r="H38" s="29"/>
    </row>
    <row r="39" spans="1:8" ht="15">
      <c r="A39" s="1" t="s">
        <v>214</v>
      </c>
      <c r="B39" s="60" t="s">
        <v>311</v>
      </c>
      <c r="C39" s="60">
        <v>39635.5</v>
      </c>
      <c r="D39" s="60"/>
      <c r="E39" s="60"/>
      <c r="F39" s="60"/>
      <c r="G39" s="60"/>
      <c r="H39" s="29" t="s">
        <v>585</v>
      </c>
    </row>
    <row r="40" spans="1:8">
      <c r="A40" s="28" t="s">
        <v>347</v>
      </c>
      <c r="B40" s="62"/>
      <c r="C40" s="62"/>
      <c r="D40" s="62"/>
      <c r="E40" s="62"/>
      <c r="F40" s="62"/>
      <c r="G40" s="62"/>
      <c r="H40" s="28"/>
    </row>
    <row r="41" spans="1:8" ht="15">
      <c r="A41" s="1" t="s">
        <v>145</v>
      </c>
      <c r="B41" s="60" t="s">
        <v>311</v>
      </c>
      <c r="C41" s="60">
        <v>31255</v>
      </c>
      <c r="D41" s="60">
        <v>0</v>
      </c>
      <c r="E41" s="60">
        <v>0</v>
      </c>
      <c r="F41" s="60">
        <v>0</v>
      </c>
      <c r="G41" s="60">
        <v>0</v>
      </c>
      <c r="H41" s="29"/>
    </row>
    <row r="42" spans="1:8" ht="15">
      <c r="A42" s="1" t="s">
        <v>146</v>
      </c>
      <c r="B42" s="60" t="s">
        <v>311</v>
      </c>
      <c r="C42" s="60">
        <v>108529</v>
      </c>
      <c r="D42" s="60">
        <v>143696.67000000001</v>
      </c>
      <c r="E42" s="60">
        <v>165320</v>
      </c>
      <c r="F42" s="60">
        <v>132885</v>
      </c>
      <c r="G42" s="60">
        <v>132885</v>
      </c>
      <c r="H42" s="29"/>
    </row>
    <row r="43" spans="1:8" ht="15">
      <c r="A43" s="1" t="s">
        <v>147</v>
      </c>
      <c r="B43" s="60" t="s">
        <v>311</v>
      </c>
      <c r="C43" s="60">
        <v>9238.3799999999992</v>
      </c>
      <c r="D43" s="60">
        <v>13891.55</v>
      </c>
      <c r="E43" s="60">
        <v>13658.08</v>
      </c>
      <c r="F43" s="60">
        <v>14008.29</v>
      </c>
      <c r="G43" s="60">
        <v>14008.29</v>
      </c>
      <c r="H43" s="29"/>
    </row>
    <row r="44" spans="1:8" ht="15">
      <c r="A44" s="1" t="s">
        <v>148</v>
      </c>
      <c r="B44" s="60" t="s">
        <v>311</v>
      </c>
      <c r="C44" s="60">
        <v>5666.67</v>
      </c>
      <c r="D44" s="60">
        <v>3866.67</v>
      </c>
      <c r="E44" s="60">
        <v>10600</v>
      </c>
      <c r="F44" s="60">
        <v>500</v>
      </c>
      <c r="G44" s="60">
        <v>500</v>
      </c>
      <c r="H44" s="29"/>
    </row>
    <row r="47" spans="1:8">
      <c r="A47" s="13" t="s">
        <v>109</v>
      </c>
    </row>
    <row r="48" spans="1:8" ht="15">
      <c r="A48" s="1" t="s">
        <v>149</v>
      </c>
      <c r="B48" s="1" t="s">
        <v>481</v>
      </c>
      <c r="C48" s="1" t="s">
        <v>482</v>
      </c>
      <c r="D48" s="1" t="s">
        <v>483</v>
      </c>
      <c r="E48" s="1">
        <v>2008</v>
      </c>
      <c r="F48" s="1">
        <v>2009</v>
      </c>
      <c r="G48" s="1" t="s">
        <v>484</v>
      </c>
      <c r="H48" s="29"/>
    </row>
    <row r="49" spans="1:8">
      <c r="A49" s="28" t="s">
        <v>324</v>
      </c>
      <c r="B49" s="28"/>
      <c r="C49" s="62"/>
      <c r="D49" s="62"/>
      <c r="E49" s="62"/>
      <c r="F49" s="62"/>
      <c r="G49" s="62"/>
      <c r="H49" s="28"/>
    </row>
    <row r="50" spans="1:8">
      <c r="A50" s="28" t="s">
        <v>434</v>
      </c>
      <c r="B50" s="28"/>
      <c r="C50" s="62"/>
      <c r="D50" s="62"/>
      <c r="E50" s="62"/>
      <c r="F50" s="62"/>
      <c r="G50" s="62"/>
      <c r="H50" s="28"/>
    </row>
    <row r="51" spans="1:8">
      <c r="A51" s="27" t="s">
        <v>435</v>
      </c>
      <c r="B51" s="27"/>
      <c r="C51" s="61"/>
      <c r="D51" s="61"/>
      <c r="E51" s="61"/>
      <c r="F51" s="61"/>
      <c r="G51" s="61"/>
      <c r="H51" s="27"/>
    </row>
    <row r="52" spans="1:8" ht="15">
      <c r="A52" s="1" t="s">
        <v>150</v>
      </c>
      <c r="B52" s="1" t="s">
        <v>311</v>
      </c>
      <c r="C52" s="60"/>
      <c r="D52" s="60"/>
      <c r="E52" s="60"/>
      <c r="F52" s="60"/>
      <c r="G52" s="60"/>
      <c r="H52" s="29" t="s">
        <v>586</v>
      </c>
    </row>
    <row r="53" spans="1:8" ht="15">
      <c r="A53" s="1" t="s">
        <v>151</v>
      </c>
      <c r="B53" s="1" t="s">
        <v>311</v>
      </c>
      <c r="C53" s="60"/>
      <c r="D53" s="60"/>
      <c r="E53" s="60"/>
      <c r="F53" s="60"/>
      <c r="G53" s="60"/>
      <c r="H53" s="29" t="s">
        <v>586</v>
      </c>
    </row>
    <row r="54" spans="1:8" ht="15">
      <c r="A54" s="1" t="s">
        <v>152</v>
      </c>
      <c r="B54" s="1" t="s">
        <v>311</v>
      </c>
      <c r="C54" s="60"/>
      <c r="D54" s="60"/>
      <c r="E54" s="60"/>
      <c r="F54" s="60"/>
      <c r="G54" s="60"/>
      <c r="H54" s="29" t="s">
        <v>586</v>
      </c>
    </row>
    <row r="55" spans="1:8" ht="15">
      <c r="A55" s="1" t="s">
        <v>153</v>
      </c>
      <c r="B55" s="1" t="s">
        <v>311</v>
      </c>
      <c r="C55" s="60"/>
      <c r="D55" s="60"/>
      <c r="E55" s="60"/>
      <c r="F55" s="60"/>
      <c r="G55" s="60"/>
      <c r="H55" s="29" t="s">
        <v>586</v>
      </c>
    </row>
    <row r="56" spans="1:8" ht="15">
      <c r="A56" s="1" t="s">
        <v>154</v>
      </c>
      <c r="B56" s="1" t="s">
        <v>311</v>
      </c>
      <c r="C56" s="60"/>
      <c r="D56" s="60"/>
      <c r="E56" s="60"/>
      <c r="F56" s="60"/>
      <c r="G56" s="60"/>
      <c r="H56" s="29" t="s">
        <v>586</v>
      </c>
    </row>
    <row r="57" spans="1:8" ht="15">
      <c r="A57" s="1" t="s">
        <v>179</v>
      </c>
      <c r="B57" s="1" t="s">
        <v>311</v>
      </c>
      <c r="C57" s="60"/>
      <c r="D57" s="60"/>
      <c r="E57" s="60"/>
      <c r="F57" s="60"/>
      <c r="G57" s="60"/>
      <c r="H57" s="29" t="s">
        <v>586</v>
      </c>
    </row>
    <row r="58" spans="1:8" ht="15">
      <c r="A58" s="1" t="s">
        <v>330</v>
      </c>
      <c r="B58" s="1" t="s">
        <v>311</v>
      </c>
      <c r="C58" s="60">
        <v>557872</v>
      </c>
      <c r="D58" s="60">
        <v>1131696</v>
      </c>
      <c r="E58" s="60">
        <v>1153530</v>
      </c>
      <c r="F58" s="60">
        <v>1120779</v>
      </c>
      <c r="G58" s="60">
        <v>1120779</v>
      </c>
      <c r="H58" s="29"/>
    </row>
    <row r="59" spans="1:8" ht="15">
      <c r="A59" s="1" t="s">
        <v>180</v>
      </c>
      <c r="B59" s="1" t="s">
        <v>311</v>
      </c>
      <c r="C59" s="60"/>
      <c r="D59" s="60">
        <v>694200</v>
      </c>
      <c r="E59" s="60">
        <v>579600</v>
      </c>
      <c r="F59" s="60">
        <v>751500</v>
      </c>
      <c r="G59" s="60">
        <v>751500</v>
      </c>
      <c r="H59" s="29" t="s">
        <v>587</v>
      </c>
    </row>
    <row r="60" spans="1:8">
      <c r="A60" s="28" t="s">
        <v>347</v>
      </c>
      <c r="B60" s="28"/>
      <c r="C60" s="62"/>
      <c r="D60" s="62"/>
      <c r="E60" s="62"/>
      <c r="F60" s="62"/>
      <c r="G60" s="62"/>
      <c r="H60" s="28"/>
    </row>
    <row r="61" spans="1:8" ht="15">
      <c r="A61" s="1" t="s">
        <v>147</v>
      </c>
      <c r="B61" s="1" t="s">
        <v>311</v>
      </c>
      <c r="C61" s="60">
        <v>2574.6</v>
      </c>
      <c r="D61" s="60">
        <v>952.24</v>
      </c>
      <c r="E61" s="60">
        <v>936.24</v>
      </c>
      <c r="F61" s="60">
        <v>960.25</v>
      </c>
      <c r="G61" s="60">
        <v>960.25</v>
      </c>
      <c r="H61" s="29"/>
    </row>
    <row r="62" spans="1:8" ht="15">
      <c r="A62" s="1" t="s">
        <v>108</v>
      </c>
      <c r="B62" s="1" t="s">
        <v>311</v>
      </c>
      <c r="C62" s="60">
        <v>1588.26</v>
      </c>
      <c r="D62" s="60">
        <v>1229.3399999999999</v>
      </c>
      <c r="E62" s="60">
        <v>1219.43</v>
      </c>
      <c r="F62" s="60">
        <v>1234.3</v>
      </c>
      <c r="G62" s="60">
        <v>1234.3</v>
      </c>
      <c r="H62" s="29"/>
    </row>
    <row r="63" spans="1:8">
      <c r="C63" s="57"/>
      <c r="D63" s="57"/>
      <c r="E63" s="57"/>
      <c r="F63" s="57"/>
      <c r="G63" s="57"/>
    </row>
    <row r="65" spans="1:7">
      <c r="A65" s="3" t="s">
        <v>203</v>
      </c>
    </row>
    <row r="66" spans="1:7">
      <c r="A66" s="1" t="s">
        <v>149</v>
      </c>
      <c r="B66" s="1" t="s">
        <v>481</v>
      </c>
      <c r="C66" s="1" t="s">
        <v>482</v>
      </c>
      <c r="D66" s="1" t="s">
        <v>483</v>
      </c>
      <c r="E66" s="1">
        <v>2008</v>
      </c>
      <c r="F66" s="1">
        <v>2009</v>
      </c>
      <c r="G66" s="1" t="s">
        <v>484</v>
      </c>
    </row>
    <row r="67" spans="1:7">
      <c r="A67" s="72" t="s">
        <v>324</v>
      </c>
      <c r="B67" s="72"/>
      <c r="C67" s="72"/>
      <c r="D67" s="72"/>
      <c r="E67" s="72"/>
      <c r="F67" s="72"/>
      <c r="G67" s="72"/>
    </row>
    <row r="68" spans="1:7">
      <c r="A68" s="72" t="s">
        <v>375</v>
      </c>
      <c r="B68" s="72"/>
      <c r="C68" s="72"/>
      <c r="D68" s="72"/>
      <c r="E68" s="72"/>
      <c r="F68" s="72"/>
      <c r="G68" s="72"/>
    </row>
    <row r="69" spans="1:7">
      <c r="A69" s="72" t="s">
        <v>347</v>
      </c>
      <c r="B69" s="72"/>
      <c r="C69" s="72"/>
      <c r="D69" s="72"/>
      <c r="E69" s="72"/>
      <c r="F69" s="72"/>
      <c r="G69" s="72"/>
    </row>
    <row r="70" spans="1:7">
      <c r="A70" s="1" t="s">
        <v>147</v>
      </c>
      <c r="B70" s="1" t="s">
        <v>311</v>
      </c>
      <c r="C70" s="60">
        <v>2553.6999999999998</v>
      </c>
      <c r="D70" s="60">
        <v>4989.54</v>
      </c>
      <c r="E70" s="60">
        <v>4905.68</v>
      </c>
      <c r="F70" s="60">
        <v>5031.47</v>
      </c>
      <c r="G70" s="60">
        <v>5031.47</v>
      </c>
    </row>
    <row r="71" spans="1:7">
      <c r="A71" s="1" t="s">
        <v>108</v>
      </c>
      <c r="B71" s="1" t="s">
        <v>311</v>
      </c>
      <c r="C71" s="60">
        <v>11078.4</v>
      </c>
      <c r="D71" s="60">
        <v>15303.99</v>
      </c>
      <c r="E71" s="60">
        <v>15180.57</v>
      </c>
      <c r="F71" s="60">
        <v>15365.7</v>
      </c>
      <c r="G71" s="60">
        <v>15365.7</v>
      </c>
    </row>
  </sheetData>
  <mergeCells count="3">
    <mergeCell ref="A67:G67"/>
    <mergeCell ref="A68:G68"/>
    <mergeCell ref="A69:G69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"/>
    </sheetView>
  </sheetViews>
  <sheetFormatPr baseColWidth="10" defaultRowHeight="13" x14ac:dyDescent="0"/>
  <sheetData>
    <row r="1" spans="1:1">
      <c r="A1" s="5" t="s">
        <v>208</v>
      </c>
    </row>
  </sheetData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B1" workbookViewId="0">
      <selection activeCell="D10" sqref="D10"/>
    </sheetView>
  </sheetViews>
  <sheetFormatPr baseColWidth="10" defaultRowHeight="13" x14ac:dyDescent="0"/>
  <cols>
    <col min="1" max="1" width="29.7109375" customWidth="1"/>
    <col min="8" max="8" width="10.7109375" style="16"/>
  </cols>
  <sheetData>
    <row r="1" spans="1:13">
      <c r="A1" s="26" t="s">
        <v>506</v>
      </c>
      <c r="I1" s="74" t="s">
        <v>461</v>
      </c>
      <c r="J1" s="74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I3" s="51">
        <f>C3*0.0959233</f>
        <v>0</v>
      </c>
      <c r="J3" s="51">
        <f>D3*0.0807494</f>
        <v>0</v>
      </c>
      <c r="K3" s="51">
        <f>E3*0.0722961</f>
        <v>0</v>
      </c>
      <c r="L3" s="51">
        <f>F3*0.0761325</f>
        <v>0</v>
      </c>
      <c r="M3" s="51">
        <f>G3*0.0807494</f>
        <v>0</v>
      </c>
    </row>
    <row r="4" spans="1:13">
      <c r="A4" t="s">
        <v>436</v>
      </c>
      <c r="I4" s="51">
        <f t="shared" ref="I4:I21" si="0">C4*0.0959233</f>
        <v>0</v>
      </c>
      <c r="J4" s="51">
        <f t="shared" ref="J4:J21" si="1">D4*0.0807494</f>
        <v>0</v>
      </c>
      <c r="K4" s="51">
        <f t="shared" ref="K4:K21" si="2">E4*0.0722961</f>
        <v>0</v>
      </c>
      <c r="L4" s="51">
        <f t="shared" ref="L4:L21" si="3">F4*0.0761325</f>
        <v>0</v>
      </c>
      <c r="M4" s="51">
        <f t="shared" ref="M4:M21" si="4">G4*0.0807494</f>
        <v>0</v>
      </c>
    </row>
    <row r="5" spans="1:13">
      <c r="A5" t="s">
        <v>437</v>
      </c>
      <c r="I5" s="51">
        <f t="shared" si="0"/>
        <v>0</v>
      </c>
      <c r="J5" s="51">
        <f t="shared" si="1"/>
        <v>0</v>
      </c>
      <c r="K5" s="51">
        <f t="shared" si="2"/>
        <v>0</v>
      </c>
      <c r="L5" s="51">
        <f t="shared" si="3"/>
        <v>0</v>
      </c>
      <c r="M5" s="51">
        <f t="shared" si="4"/>
        <v>0</v>
      </c>
    </row>
    <row r="6" spans="1:13">
      <c r="A6" t="s">
        <v>438</v>
      </c>
      <c r="I6" s="51">
        <f t="shared" si="0"/>
        <v>0</v>
      </c>
      <c r="J6" s="51">
        <f t="shared" si="1"/>
        <v>0</v>
      </c>
      <c r="K6" s="51">
        <f t="shared" si="2"/>
        <v>0</v>
      </c>
      <c r="L6" s="51">
        <f t="shared" si="3"/>
        <v>0</v>
      </c>
      <c r="M6" s="51">
        <f t="shared" si="4"/>
        <v>0</v>
      </c>
    </row>
    <row r="7" spans="1:13">
      <c r="I7" s="51"/>
      <c r="J7" s="51"/>
      <c r="K7" s="51"/>
      <c r="L7" s="51"/>
      <c r="M7" s="51"/>
    </row>
    <row r="8" spans="1:13">
      <c r="A8" t="s">
        <v>439</v>
      </c>
      <c r="I8" s="51">
        <f t="shared" si="0"/>
        <v>0</v>
      </c>
      <c r="J8" s="51">
        <f t="shared" si="1"/>
        <v>0</v>
      </c>
      <c r="K8" s="51">
        <f t="shared" si="2"/>
        <v>0</v>
      </c>
      <c r="L8" s="51">
        <f t="shared" si="3"/>
        <v>0</v>
      </c>
      <c r="M8" s="51">
        <f t="shared" si="4"/>
        <v>0</v>
      </c>
    </row>
    <row r="9" spans="1:13">
      <c r="A9" t="s">
        <v>440</v>
      </c>
      <c r="C9">
        <f>C31+C32+C33+C34+C35</f>
        <v>0</v>
      </c>
      <c r="D9">
        <f>D31+D32+D33+D34+D35</f>
        <v>71588.62999999999</v>
      </c>
      <c r="E9">
        <f t="shared" ref="E9:G9" si="5">E31+E32+E33+E34+E35</f>
        <v>196581.61000000002</v>
      </c>
      <c r="F9">
        <f t="shared" si="5"/>
        <v>9349.7999999999993</v>
      </c>
      <c r="G9">
        <f t="shared" si="5"/>
        <v>8834.5</v>
      </c>
      <c r="I9" s="51">
        <f t="shared" si="0"/>
        <v>0</v>
      </c>
      <c r="J9" s="51">
        <f t="shared" si="1"/>
        <v>5780.7389193219988</v>
      </c>
      <c r="K9" s="51">
        <f t="shared" si="2"/>
        <v>14212.083734721002</v>
      </c>
      <c r="L9" s="51">
        <f t="shared" si="3"/>
        <v>711.82364849999999</v>
      </c>
      <c r="M9" s="51">
        <f t="shared" si="4"/>
        <v>713.38057430000003</v>
      </c>
    </row>
    <row r="10" spans="1:13">
      <c r="A10" t="s">
        <v>441</v>
      </c>
      <c r="I10" s="51">
        <f t="shared" si="0"/>
        <v>0</v>
      </c>
      <c r="J10" s="51">
        <f t="shared" si="1"/>
        <v>0</v>
      </c>
      <c r="K10" s="51">
        <f t="shared" si="2"/>
        <v>0</v>
      </c>
      <c r="L10" s="51">
        <f t="shared" si="3"/>
        <v>0</v>
      </c>
      <c r="M10" s="51">
        <f t="shared" si="4"/>
        <v>0</v>
      </c>
    </row>
    <row r="11" spans="1:13">
      <c r="A11" t="s">
        <v>442</v>
      </c>
      <c r="C11">
        <f>SUM(C8:C10)</f>
        <v>0</v>
      </c>
      <c r="D11">
        <f>SUM(D8:D10)</f>
        <v>71588.62999999999</v>
      </c>
      <c r="E11">
        <f t="shared" ref="E11:G11" si="6">SUM(E8:E10)</f>
        <v>196581.61000000002</v>
      </c>
      <c r="F11">
        <f t="shared" si="6"/>
        <v>9349.7999999999993</v>
      </c>
      <c r="G11">
        <f t="shared" si="6"/>
        <v>8834.5</v>
      </c>
      <c r="I11" s="51">
        <f t="shared" si="0"/>
        <v>0</v>
      </c>
      <c r="J11" s="51">
        <f t="shared" si="1"/>
        <v>5780.7389193219988</v>
      </c>
      <c r="K11" s="51">
        <f t="shared" si="2"/>
        <v>14212.083734721002</v>
      </c>
      <c r="L11" s="51">
        <f t="shared" si="3"/>
        <v>711.82364849999999</v>
      </c>
      <c r="M11" s="51">
        <f t="shared" si="4"/>
        <v>713.38057430000003</v>
      </c>
    </row>
    <row r="12" spans="1:13">
      <c r="I12" s="51"/>
      <c r="J12" s="51"/>
      <c r="K12" s="51"/>
      <c r="L12" s="51"/>
      <c r="M12" s="51"/>
    </row>
    <row r="13" spans="1:13">
      <c r="A13" t="s">
        <v>443</v>
      </c>
      <c r="I13" s="51">
        <f t="shared" si="0"/>
        <v>0</v>
      </c>
      <c r="J13" s="51">
        <f t="shared" si="1"/>
        <v>0</v>
      </c>
      <c r="K13" s="51">
        <f t="shared" si="2"/>
        <v>0</v>
      </c>
      <c r="L13" s="51">
        <f t="shared" si="3"/>
        <v>0</v>
      </c>
      <c r="M13" s="51">
        <f t="shared" si="4"/>
        <v>0</v>
      </c>
    </row>
    <row r="14" spans="1:13">
      <c r="A14" t="s">
        <v>444</v>
      </c>
      <c r="I14" s="51">
        <f t="shared" si="0"/>
        <v>0</v>
      </c>
      <c r="J14" s="51">
        <f t="shared" si="1"/>
        <v>0</v>
      </c>
      <c r="K14" s="51">
        <f t="shared" si="2"/>
        <v>0</v>
      </c>
      <c r="L14" s="51">
        <f t="shared" si="3"/>
        <v>0</v>
      </c>
      <c r="M14" s="51">
        <f t="shared" si="4"/>
        <v>0</v>
      </c>
    </row>
    <row r="15" spans="1:13">
      <c r="A15" t="s">
        <v>445</v>
      </c>
      <c r="I15" s="51">
        <f t="shared" si="0"/>
        <v>0</v>
      </c>
      <c r="J15" s="51">
        <f t="shared" si="1"/>
        <v>0</v>
      </c>
      <c r="K15" s="51">
        <f t="shared" si="2"/>
        <v>0</v>
      </c>
      <c r="L15" s="51">
        <f t="shared" si="3"/>
        <v>0</v>
      </c>
      <c r="M15" s="51">
        <f t="shared" si="4"/>
        <v>0</v>
      </c>
    </row>
    <row r="16" spans="1:13">
      <c r="A16" t="s">
        <v>446</v>
      </c>
      <c r="I16" s="51">
        <f t="shared" si="0"/>
        <v>0</v>
      </c>
      <c r="J16" s="51">
        <f t="shared" si="1"/>
        <v>0</v>
      </c>
      <c r="K16" s="51">
        <f t="shared" si="2"/>
        <v>0</v>
      </c>
      <c r="L16" s="51">
        <f t="shared" si="3"/>
        <v>0</v>
      </c>
      <c r="M16" s="51">
        <f t="shared" si="4"/>
        <v>0</v>
      </c>
    </row>
    <row r="17" spans="1:13">
      <c r="I17" s="51"/>
      <c r="J17" s="51"/>
      <c r="K17" s="51"/>
      <c r="L17" s="51"/>
      <c r="M17" s="51"/>
    </row>
    <row r="18" spans="1:13">
      <c r="A18" t="s">
        <v>447</v>
      </c>
      <c r="C18" s="8">
        <f>C3+C8+C13</f>
        <v>0</v>
      </c>
      <c r="D18" s="8">
        <f>D3+D8+D13</f>
        <v>0</v>
      </c>
      <c r="E18" s="8">
        <f t="shared" ref="D18:G20" si="7">E3+E8+E13</f>
        <v>0</v>
      </c>
      <c r="F18" s="8">
        <f t="shared" si="7"/>
        <v>0</v>
      </c>
      <c r="G18" s="8">
        <f>G3+G8+G13</f>
        <v>0</v>
      </c>
      <c r="I18" s="51">
        <f t="shared" si="0"/>
        <v>0</v>
      </c>
      <c r="J18" s="51">
        <f t="shared" si="1"/>
        <v>0</v>
      </c>
      <c r="K18" s="51">
        <f t="shared" si="2"/>
        <v>0</v>
      </c>
      <c r="L18" s="51">
        <f t="shared" si="3"/>
        <v>0</v>
      </c>
      <c r="M18" s="51">
        <f t="shared" si="4"/>
        <v>0</v>
      </c>
    </row>
    <row r="19" spans="1:13">
      <c r="A19" t="s">
        <v>448</v>
      </c>
      <c r="C19" s="8">
        <f>C4+C9+C14</f>
        <v>0</v>
      </c>
      <c r="D19" s="8">
        <f>D4+D9+D14</f>
        <v>71588.62999999999</v>
      </c>
      <c r="E19" s="8">
        <f t="shared" si="7"/>
        <v>196581.61000000002</v>
      </c>
      <c r="F19" s="8">
        <f t="shared" si="7"/>
        <v>9349.7999999999993</v>
      </c>
      <c r="G19" s="8">
        <f>G4+G9+G14</f>
        <v>8834.5</v>
      </c>
      <c r="I19" s="51">
        <f t="shared" si="0"/>
        <v>0</v>
      </c>
      <c r="J19" s="51">
        <f>D19*0.0807494</f>
        <v>5780.7389193219988</v>
      </c>
      <c r="K19" s="51">
        <f t="shared" si="2"/>
        <v>14212.083734721002</v>
      </c>
      <c r="L19" s="51">
        <f t="shared" si="3"/>
        <v>711.82364849999999</v>
      </c>
      <c r="M19" s="51">
        <f t="shared" si="4"/>
        <v>713.38057430000003</v>
      </c>
    </row>
    <row r="20" spans="1:13">
      <c r="A20" t="s">
        <v>449</v>
      </c>
      <c r="C20" s="8">
        <f>C5+C10+C15</f>
        <v>0</v>
      </c>
      <c r="D20" s="8">
        <f t="shared" si="7"/>
        <v>0</v>
      </c>
      <c r="E20" s="8">
        <f t="shared" si="7"/>
        <v>0</v>
      </c>
      <c r="F20" s="8">
        <f t="shared" si="7"/>
        <v>0</v>
      </c>
      <c r="G20" s="8">
        <f t="shared" si="7"/>
        <v>0</v>
      </c>
      <c r="I20" s="51">
        <f t="shared" si="0"/>
        <v>0</v>
      </c>
      <c r="J20" s="51">
        <f t="shared" si="1"/>
        <v>0</v>
      </c>
      <c r="K20" s="51">
        <f t="shared" si="2"/>
        <v>0</v>
      </c>
      <c r="L20" s="51">
        <f t="shared" si="3"/>
        <v>0</v>
      </c>
      <c r="M20" s="51">
        <f t="shared" si="4"/>
        <v>0</v>
      </c>
    </row>
    <row r="21" spans="1:13">
      <c r="A21" t="s">
        <v>525</v>
      </c>
      <c r="C21" s="8">
        <f>SUM(C18:C20)</f>
        <v>0</v>
      </c>
      <c r="D21" s="8">
        <f t="shared" ref="D21:F21" si="8">SUM(D18:D20)</f>
        <v>71588.62999999999</v>
      </c>
      <c r="E21" s="8">
        <f t="shared" si="8"/>
        <v>196581.61000000002</v>
      </c>
      <c r="F21" s="8">
        <f t="shared" si="8"/>
        <v>9349.7999999999993</v>
      </c>
      <c r="G21" s="8">
        <f>SUM(G18:G20)</f>
        <v>8834.5</v>
      </c>
      <c r="I21" s="51">
        <f t="shared" si="0"/>
        <v>0</v>
      </c>
      <c r="J21" s="51">
        <f t="shared" si="1"/>
        <v>5780.7389193219988</v>
      </c>
      <c r="K21" s="51">
        <f t="shared" si="2"/>
        <v>14212.083734721002</v>
      </c>
      <c r="L21" s="51">
        <f t="shared" si="3"/>
        <v>711.82364849999999</v>
      </c>
      <c r="M21" s="51">
        <f t="shared" si="4"/>
        <v>713.38057430000003</v>
      </c>
    </row>
    <row r="25" spans="1:13">
      <c r="A25" s="3" t="s">
        <v>167</v>
      </c>
    </row>
    <row r="26" spans="1:13" ht="15">
      <c r="A26" s="1" t="s">
        <v>166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324</v>
      </c>
      <c r="B27" s="28"/>
      <c r="C27" s="28"/>
      <c r="D27" s="28"/>
      <c r="E27" s="28"/>
      <c r="F27" s="28"/>
      <c r="G27" s="28"/>
      <c r="H27" s="28"/>
    </row>
    <row r="28" spans="1:13">
      <c r="A28" s="28" t="s">
        <v>434</v>
      </c>
      <c r="B28" s="28"/>
      <c r="C28" s="28"/>
      <c r="D28" s="28"/>
      <c r="E28" s="28"/>
      <c r="F28" s="28"/>
      <c r="G28" s="28"/>
      <c r="H28" s="28"/>
    </row>
    <row r="29" spans="1:13">
      <c r="A29" s="27" t="s">
        <v>583</v>
      </c>
      <c r="B29" s="27"/>
      <c r="C29" s="27"/>
      <c r="D29" s="27"/>
      <c r="E29" s="27"/>
      <c r="F29" s="27"/>
      <c r="G29" s="27"/>
      <c r="H29" s="27"/>
    </row>
    <row r="30" spans="1:13" ht="15">
      <c r="A30" s="1" t="s">
        <v>204</v>
      </c>
      <c r="B30" s="1" t="s">
        <v>488</v>
      </c>
      <c r="C30" s="1"/>
      <c r="D30" s="1"/>
      <c r="E30" s="1"/>
      <c r="F30" s="1"/>
      <c r="G30" s="1"/>
      <c r="H30" s="29" t="s">
        <v>579</v>
      </c>
    </row>
    <row r="31" spans="1:13" ht="15">
      <c r="A31" s="1" t="s">
        <v>205</v>
      </c>
      <c r="B31" s="1" t="s">
        <v>488</v>
      </c>
      <c r="C31" s="1"/>
      <c r="D31" s="1">
        <v>2032.07</v>
      </c>
      <c r="E31" s="1">
        <v>0</v>
      </c>
      <c r="F31" s="1">
        <v>3048.1</v>
      </c>
      <c r="G31" s="1">
        <v>3048.1</v>
      </c>
      <c r="H31" s="29" t="s">
        <v>581</v>
      </c>
    </row>
    <row r="32" spans="1:13" ht="15">
      <c r="A32" s="1" t="s">
        <v>206</v>
      </c>
      <c r="B32" s="1" t="s">
        <v>488</v>
      </c>
      <c r="C32" s="1"/>
      <c r="D32" s="1">
        <v>57</v>
      </c>
      <c r="E32" s="1">
        <v>0</v>
      </c>
      <c r="F32" s="1">
        <v>85.5</v>
      </c>
      <c r="G32" s="1">
        <v>85.5</v>
      </c>
      <c r="H32" s="29" t="s">
        <v>581</v>
      </c>
    </row>
    <row r="33" spans="1:8" ht="15">
      <c r="A33" s="1" t="s">
        <v>207</v>
      </c>
      <c r="B33" s="1" t="s">
        <v>488</v>
      </c>
      <c r="C33" s="1"/>
      <c r="D33" s="1">
        <v>155</v>
      </c>
      <c r="E33" s="1">
        <v>0</v>
      </c>
      <c r="F33" s="1">
        <v>465</v>
      </c>
      <c r="G33" s="1">
        <v>0</v>
      </c>
      <c r="H33" s="29" t="s">
        <v>582</v>
      </c>
    </row>
    <row r="34" spans="1:8" ht="15">
      <c r="A34" s="1" t="s">
        <v>89</v>
      </c>
      <c r="B34" s="1" t="s">
        <v>488</v>
      </c>
      <c r="C34" s="1"/>
      <c r="D34" s="1">
        <v>410.33</v>
      </c>
      <c r="E34" s="1">
        <v>1077.7</v>
      </c>
      <c r="F34" s="1">
        <v>101.8</v>
      </c>
      <c r="G34" s="1">
        <v>51.5</v>
      </c>
      <c r="H34" s="29" t="s">
        <v>581</v>
      </c>
    </row>
    <row r="35" spans="1:8" ht="15">
      <c r="A35" s="1" t="s">
        <v>90</v>
      </c>
      <c r="B35" s="1" t="s">
        <v>488</v>
      </c>
      <c r="C35" s="1"/>
      <c r="D35" s="1">
        <v>68934.23</v>
      </c>
      <c r="E35" s="1">
        <v>195503.91</v>
      </c>
      <c r="F35" s="1">
        <v>5649.4</v>
      </c>
      <c r="G35" s="1">
        <v>5649.4</v>
      </c>
      <c r="H35" s="29" t="s">
        <v>581</v>
      </c>
    </row>
    <row r="36" spans="1:8">
      <c r="A36" s="28" t="s">
        <v>349</v>
      </c>
      <c r="B36" s="28"/>
      <c r="C36" s="28"/>
      <c r="D36" s="28"/>
      <c r="E36" s="28"/>
      <c r="F36" s="28"/>
      <c r="G36" s="28"/>
      <c r="H36" s="28"/>
    </row>
  </sheetData>
  <mergeCells count="1">
    <mergeCell ref="I1:J1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I3" sqref="I3:M21"/>
    </sheetView>
  </sheetViews>
  <sheetFormatPr baseColWidth="10" defaultRowHeight="13" x14ac:dyDescent="0"/>
  <cols>
    <col min="1" max="1" width="33.7109375" customWidth="1"/>
    <col min="8" max="8" width="10" style="16" bestFit="1" customWidth="1"/>
  </cols>
  <sheetData>
    <row r="1" spans="1:13">
      <c r="A1" s="26" t="s">
        <v>452</v>
      </c>
      <c r="I1" s="74" t="s">
        <v>461</v>
      </c>
      <c r="J1" s="74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I3" s="41">
        <f>C3*1.0485</f>
        <v>0</v>
      </c>
      <c r="J3" s="41">
        <f>D3*1.3362</f>
        <v>0</v>
      </c>
      <c r="K3" s="41">
        <f>E3*1.3919</f>
        <v>0</v>
      </c>
      <c r="L3" s="41">
        <f>F3*1.4406</f>
        <v>0</v>
      </c>
      <c r="M3" s="41">
        <f>G3*1.3362</f>
        <v>0</v>
      </c>
    </row>
    <row r="4" spans="1:13">
      <c r="A4" t="s">
        <v>436</v>
      </c>
      <c r="I4" s="41">
        <f t="shared" ref="I4:I21" si="0">C4*1.0485</f>
        <v>0</v>
      </c>
      <c r="J4" s="41">
        <f t="shared" ref="J4:J21" si="1">D4*1.3362</f>
        <v>0</v>
      </c>
      <c r="K4" s="41">
        <f t="shared" ref="K4:K6" si="2">E4*1.3919</f>
        <v>0</v>
      </c>
      <c r="L4" s="41">
        <f t="shared" ref="L4:L6" si="3">F4*1.4406</f>
        <v>0</v>
      </c>
      <c r="M4" s="41">
        <f t="shared" ref="M4:M21" si="4">G4*1.3362</f>
        <v>0</v>
      </c>
    </row>
    <row r="5" spans="1:13">
      <c r="A5" t="s">
        <v>437</v>
      </c>
      <c r="I5" s="41">
        <f t="shared" si="0"/>
        <v>0</v>
      </c>
      <c r="J5" s="41">
        <f t="shared" si="1"/>
        <v>0</v>
      </c>
      <c r="K5" s="41">
        <f t="shared" si="2"/>
        <v>0</v>
      </c>
      <c r="L5" s="41">
        <f t="shared" si="3"/>
        <v>0</v>
      </c>
      <c r="M5" s="41">
        <f t="shared" si="4"/>
        <v>0</v>
      </c>
    </row>
    <row r="6" spans="1:13">
      <c r="A6" t="s">
        <v>438</v>
      </c>
      <c r="I6" s="41">
        <f t="shared" si="0"/>
        <v>0</v>
      </c>
      <c r="J6" s="41">
        <f t="shared" si="1"/>
        <v>0</v>
      </c>
      <c r="K6" s="41">
        <f t="shared" si="2"/>
        <v>0</v>
      </c>
      <c r="L6" s="41">
        <f t="shared" si="3"/>
        <v>0</v>
      </c>
      <c r="M6" s="41">
        <f t="shared" si="4"/>
        <v>0</v>
      </c>
    </row>
    <row r="7" spans="1:13">
      <c r="I7" s="41"/>
      <c r="J7" s="41"/>
      <c r="K7" s="41"/>
      <c r="L7" s="41"/>
      <c r="M7" s="41"/>
    </row>
    <row r="8" spans="1:13">
      <c r="A8" t="s">
        <v>439</v>
      </c>
      <c r="I8" s="41">
        <f t="shared" si="0"/>
        <v>0</v>
      </c>
      <c r="J8" s="41">
        <f t="shared" si="1"/>
        <v>0</v>
      </c>
      <c r="K8" s="41">
        <f>E8*1.3919</f>
        <v>0</v>
      </c>
      <c r="L8" s="41">
        <f>F8*1.4406</f>
        <v>0</v>
      </c>
      <c r="M8" s="41">
        <f t="shared" si="4"/>
        <v>0</v>
      </c>
    </row>
    <row r="9" spans="1:13">
      <c r="A9" t="s">
        <v>440</v>
      </c>
      <c r="C9">
        <f>C30</f>
        <v>0</v>
      </c>
      <c r="D9">
        <f t="shared" ref="D9:G9" si="5">D30</f>
        <v>225.67</v>
      </c>
      <c r="E9">
        <f t="shared" si="5"/>
        <v>228</v>
      </c>
      <c r="F9">
        <f t="shared" si="5"/>
        <v>208</v>
      </c>
      <c r="G9">
        <f t="shared" si="5"/>
        <v>241</v>
      </c>
      <c r="I9" s="41">
        <f t="shared" si="0"/>
        <v>0</v>
      </c>
      <c r="J9" s="41">
        <f t="shared" si="1"/>
        <v>301.540254</v>
      </c>
      <c r="K9" s="41">
        <f t="shared" ref="K9:K11" si="6">E9*1.3919</f>
        <v>317.35319999999996</v>
      </c>
      <c r="L9" s="41">
        <f t="shared" ref="L9:L11" si="7">F9*1.4406</f>
        <v>299.64480000000003</v>
      </c>
      <c r="M9" s="41">
        <f t="shared" si="4"/>
        <v>322.02420000000001</v>
      </c>
    </row>
    <row r="10" spans="1:13">
      <c r="A10" t="s">
        <v>441</v>
      </c>
      <c r="I10" s="41">
        <f t="shared" si="0"/>
        <v>0</v>
      </c>
      <c r="J10" s="41">
        <f t="shared" si="1"/>
        <v>0</v>
      </c>
      <c r="K10" s="41">
        <f t="shared" si="6"/>
        <v>0</v>
      </c>
      <c r="L10" s="41">
        <f t="shared" si="7"/>
        <v>0</v>
      </c>
      <c r="M10" s="41">
        <f t="shared" si="4"/>
        <v>0</v>
      </c>
    </row>
    <row r="11" spans="1:13">
      <c r="A11" t="s">
        <v>442</v>
      </c>
      <c r="C11">
        <f>SUM(C8:C10)</f>
        <v>0</v>
      </c>
      <c r="D11">
        <f t="shared" ref="D11:G11" si="8">SUM(D8:D10)</f>
        <v>225.67</v>
      </c>
      <c r="E11">
        <f t="shared" si="8"/>
        <v>228</v>
      </c>
      <c r="F11">
        <f t="shared" si="8"/>
        <v>208</v>
      </c>
      <c r="G11">
        <f t="shared" si="8"/>
        <v>241</v>
      </c>
      <c r="I11" s="41">
        <f t="shared" si="0"/>
        <v>0</v>
      </c>
      <c r="J11" s="41">
        <f t="shared" si="1"/>
        <v>301.540254</v>
      </c>
      <c r="K11" s="41">
        <f t="shared" si="6"/>
        <v>317.35319999999996</v>
      </c>
      <c r="L11" s="41">
        <f t="shared" si="7"/>
        <v>299.64480000000003</v>
      </c>
      <c r="M11" s="41">
        <f t="shared" si="4"/>
        <v>322.02420000000001</v>
      </c>
    </row>
    <row r="12" spans="1:13">
      <c r="I12" s="41"/>
      <c r="J12" s="41"/>
      <c r="K12" s="41"/>
      <c r="L12" s="41"/>
      <c r="M12" s="41"/>
    </row>
    <row r="13" spans="1:13">
      <c r="A13" t="s">
        <v>443</v>
      </c>
      <c r="I13" s="41">
        <f t="shared" si="0"/>
        <v>0</v>
      </c>
      <c r="J13" s="41">
        <f t="shared" si="1"/>
        <v>0</v>
      </c>
      <c r="K13" s="41">
        <f>E13*1.3919</f>
        <v>0</v>
      </c>
      <c r="L13" s="41">
        <f>F13*1.4406</f>
        <v>0</v>
      </c>
      <c r="M13" s="41">
        <f t="shared" si="4"/>
        <v>0</v>
      </c>
    </row>
    <row r="14" spans="1:13">
      <c r="A14" t="s">
        <v>444</v>
      </c>
      <c r="C14">
        <f>C39+C40+C41</f>
        <v>55.730000000000004</v>
      </c>
      <c r="D14">
        <f t="shared" ref="D14:G14" si="9">D39+D40+D41</f>
        <v>110.46</v>
      </c>
      <c r="E14">
        <f t="shared" si="9"/>
        <v>113.38999999999999</v>
      </c>
      <c r="F14">
        <f t="shared" si="9"/>
        <v>105.99</v>
      </c>
      <c r="G14">
        <f t="shared" si="9"/>
        <v>111.99</v>
      </c>
      <c r="I14" s="41">
        <f t="shared" si="0"/>
        <v>58.432905000000005</v>
      </c>
      <c r="J14" s="41">
        <f t="shared" si="1"/>
        <v>147.59665200000001</v>
      </c>
      <c r="K14" s="41">
        <f t="shared" ref="K14:K16" si="10">E14*1.3919</f>
        <v>157.82754099999997</v>
      </c>
      <c r="L14" s="41">
        <f t="shared" ref="L14:L16" si="11">F14*1.4406</f>
        <v>152.68919400000001</v>
      </c>
      <c r="M14" s="41">
        <f t="shared" si="4"/>
        <v>149.64103800000001</v>
      </c>
    </row>
    <row r="15" spans="1:13">
      <c r="A15" t="s">
        <v>445</v>
      </c>
      <c r="I15" s="41">
        <f t="shared" si="0"/>
        <v>0</v>
      </c>
      <c r="J15" s="41">
        <f t="shared" si="1"/>
        <v>0</v>
      </c>
      <c r="K15" s="41">
        <f t="shared" si="10"/>
        <v>0</v>
      </c>
      <c r="L15" s="41">
        <f t="shared" si="11"/>
        <v>0</v>
      </c>
      <c r="M15" s="41">
        <f t="shared" si="4"/>
        <v>0</v>
      </c>
    </row>
    <row r="16" spans="1:13">
      <c r="A16" t="s">
        <v>446</v>
      </c>
      <c r="C16">
        <f>SUM(C13:C15)</f>
        <v>55.730000000000004</v>
      </c>
      <c r="D16">
        <f t="shared" ref="D16:G16" si="12">SUM(D13:D15)</f>
        <v>110.46</v>
      </c>
      <c r="E16">
        <f t="shared" si="12"/>
        <v>113.38999999999999</v>
      </c>
      <c r="F16">
        <f t="shared" si="12"/>
        <v>105.99</v>
      </c>
      <c r="G16">
        <f t="shared" si="12"/>
        <v>111.99</v>
      </c>
      <c r="I16" s="41">
        <f t="shared" si="0"/>
        <v>58.432905000000005</v>
      </c>
      <c r="J16" s="41">
        <f t="shared" si="1"/>
        <v>147.59665200000001</v>
      </c>
      <c r="K16" s="41">
        <f t="shared" si="10"/>
        <v>157.82754099999997</v>
      </c>
      <c r="L16" s="41">
        <f t="shared" si="11"/>
        <v>152.68919400000001</v>
      </c>
      <c r="M16" s="41">
        <f t="shared" si="4"/>
        <v>149.64103800000001</v>
      </c>
    </row>
    <row r="17" spans="1:13">
      <c r="I17" s="41"/>
      <c r="J17" s="41"/>
      <c r="K17" s="41"/>
      <c r="L17" s="41"/>
      <c r="M17" s="41"/>
    </row>
    <row r="18" spans="1:13">
      <c r="A18" t="s">
        <v>447</v>
      </c>
      <c r="C18" s="8">
        <f>C3+C8+C13</f>
        <v>0</v>
      </c>
      <c r="D18" s="8">
        <f>D3+D8+D13</f>
        <v>0</v>
      </c>
      <c r="E18" s="8">
        <f t="shared" ref="D18:G20" si="13">E3+E8+E13</f>
        <v>0</v>
      </c>
      <c r="F18" s="8">
        <f t="shared" si="13"/>
        <v>0</v>
      </c>
      <c r="G18" s="8">
        <f>G3+G8+G13</f>
        <v>0</v>
      </c>
      <c r="I18" s="41">
        <f t="shared" si="0"/>
        <v>0</v>
      </c>
      <c r="J18" s="41">
        <f t="shared" si="1"/>
        <v>0</v>
      </c>
      <c r="K18" s="41">
        <f>E18*1.3919</f>
        <v>0</v>
      </c>
      <c r="L18" s="41">
        <f>F18*1.4406</f>
        <v>0</v>
      </c>
      <c r="M18" s="41">
        <f t="shared" si="4"/>
        <v>0</v>
      </c>
    </row>
    <row r="19" spans="1:13">
      <c r="A19" t="s">
        <v>448</v>
      </c>
      <c r="C19" s="8">
        <f>C4+C9+C14</f>
        <v>55.730000000000004</v>
      </c>
      <c r="D19" s="8">
        <f>D4+D9+D14</f>
        <v>336.13</v>
      </c>
      <c r="E19" s="8">
        <f t="shared" si="13"/>
        <v>341.39</v>
      </c>
      <c r="F19" s="8">
        <f t="shared" si="13"/>
        <v>313.99</v>
      </c>
      <c r="G19" s="8">
        <f>G4+G9+G14</f>
        <v>352.99</v>
      </c>
      <c r="I19" s="41">
        <f t="shared" si="0"/>
        <v>58.432905000000005</v>
      </c>
      <c r="J19" s="41">
        <f t="shared" si="1"/>
        <v>449.13690600000001</v>
      </c>
      <c r="K19" s="41">
        <f t="shared" ref="K19:K21" si="14">E19*1.3919</f>
        <v>475.18074099999995</v>
      </c>
      <c r="L19" s="41">
        <f t="shared" ref="L19:L21" si="15">F19*1.4406</f>
        <v>452.33399400000002</v>
      </c>
      <c r="M19" s="41">
        <f t="shared" si="4"/>
        <v>471.66523800000004</v>
      </c>
    </row>
    <row r="20" spans="1:13">
      <c r="A20" t="s">
        <v>449</v>
      </c>
      <c r="C20" s="8">
        <f>C5+C10+C15</f>
        <v>0</v>
      </c>
      <c r="D20" s="8">
        <f t="shared" si="13"/>
        <v>0</v>
      </c>
      <c r="E20" s="8">
        <f t="shared" si="13"/>
        <v>0</v>
      </c>
      <c r="F20" s="8">
        <f t="shared" si="13"/>
        <v>0</v>
      </c>
      <c r="G20" s="8">
        <f t="shared" si="13"/>
        <v>0</v>
      </c>
      <c r="I20" s="41">
        <f t="shared" si="0"/>
        <v>0</v>
      </c>
      <c r="J20" s="41">
        <f t="shared" si="1"/>
        <v>0</v>
      </c>
      <c r="K20" s="41">
        <f t="shared" si="14"/>
        <v>0</v>
      </c>
      <c r="L20" s="41">
        <f t="shared" si="15"/>
        <v>0</v>
      </c>
      <c r="M20" s="41">
        <f t="shared" si="4"/>
        <v>0</v>
      </c>
    </row>
    <row r="21" spans="1:13">
      <c r="A21" t="s">
        <v>525</v>
      </c>
      <c r="C21" s="8">
        <f>SUM(C18:C20)</f>
        <v>55.730000000000004</v>
      </c>
      <c r="D21" s="8">
        <f t="shared" ref="D21:F21" si="16">SUM(D18:D20)</f>
        <v>336.13</v>
      </c>
      <c r="E21" s="8">
        <f t="shared" si="16"/>
        <v>341.39</v>
      </c>
      <c r="F21" s="8">
        <f t="shared" si="16"/>
        <v>313.99</v>
      </c>
      <c r="G21" s="8">
        <f>SUM(G18:G20)</f>
        <v>352.99</v>
      </c>
      <c r="I21" s="41">
        <f t="shared" si="0"/>
        <v>58.432905000000005</v>
      </c>
      <c r="J21" s="41">
        <f t="shared" si="1"/>
        <v>449.13690600000001</v>
      </c>
      <c r="K21" s="41">
        <f t="shared" si="14"/>
        <v>475.18074099999995</v>
      </c>
      <c r="L21" s="41">
        <f t="shared" si="15"/>
        <v>452.33399400000002</v>
      </c>
      <c r="M21" s="41">
        <f t="shared" si="4"/>
        <v>471.66523800000004</v>
      </c>
    </row>
    <row r="25" spans="1:13">
      <c r="A25" s="5" t="s">
        <v>169</v>
      </c>
    </row>
    <row r="26" spans="1:13" ht="15">
      <c r="A26" s="1" t="s">
        <v>334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324</v>
      </c>
      <c r="B27" s="28"/>
      <c r="C27" s="28"/>
      <c r="D27" s="28"/>
      <c r="E27" s="28"/>
      <c r="F27" s="28"/>
      <c r="G27" s="28"/>
      <c r="H27" s="28"/>
    </row>
    <row r="28" spans="1:13">
      <c r="A28" s="28" t="s">
        <v>434</v>
      </c>
      <c r="B28" s="28"/>
      <c r="C28" s="28"/>
      <c r="D28" s="28"/>
      <c r="E28" s="28"/>
      <c r="F28" s="28"/>
      <c r="G28" s="28"/>
      <c r="H28" s="28"/>
    </row>
    <row r="29" spans="1:13">
      <c r="A29" s="27" t="s">
        <v>435</v>
      </c>
      <c r="B29" s="27"/>
      <c r="C29" s="27"/>
      <c r="D29" s="27"/>
      <c r="E29" s="27"/>
      <c r="F29" s="27"/>
      <c r="G29" s="27"/>
      <c r="H29" s="27"/>
    </row>
    <row r="30" spans="1:13" ht="15">
      <c r="A30" s="1" t="s">
        <v>168</v>
      </c>
      <c r="B30" s="1" t="s">
        <v>311</v>
      </c>
      <c r="C30" s="1">
        <v>0</v>
      </c>
      <c r="D30" s="1">
        <v>225.67</v>
      </c>
      <c r="E30" s="1">
        <v>228</v>
      </c>
      <c r="F30" s="1">
        <v>208</v>
      </c>
      <c r="G30" s="1">
        <v>241</v>
      </c>
      <c r="H30" s="29" t="s">
        <v>578</v>
      </c>
    </row>
    <row r="31" spans="1:13">
      <c r="A31" s="28" t="s">
        <v>349</v>
      </c>
      <c r="B31" s="28"/>
      <c r="C31" s="28"/>
      <c r="D31" s="28"/>
      <c r="E31" s="28"/>
      <c r="F31" s="28"/>
      <c r="G31" s="28"/>
      <c r="H31" s="28"/>
    </row>
    <row r="34" spans="1:8">
      <c r="A34" s="5" t="s">
        <v>173</v>
      </c>
    </row>
    <row r="35" spans="1:8" ht="15">
      <c r="A35" s="1" t="s">
        <v>334</v>
      </c>
      <c r="B35" s="1" t="s">
        <v>481</v>
      </c>
      <c r="C35" s="1" t="s">
        <v>482</v>
      </c>
      <c r="D35" s="1" t="s">
        <v>483</v>
      </c>
      <c r="E35" s="1">
        <v>2008</v>
      </c>
      <c r="F35" s="1">
        <v>2009</v>
      </c>
      <c r="G35" s="1" t="s">
        <v>484</v>
      </c>
      <c r="H35" s="29"/>
    </row>
    <row r="36" spans="1:8">
      <c r="A36" s="28" t="s">
        <v>324</v>
      </c>
      <c r="B36" s="28"/>
      <c r="C36" s="28"/>
      <c r="D36" s="28"/>
      <c r="E36" s="28"/>
      <c r="F36" s="28"/>
      <c r="G36" s="28"/>
      <c r="H36" s="28"/>
    </row>
    <row r="37" spans="1:8">
      <c r="A37" s="28" t="s">
        <v>434</v>
      </c>
      <c r="B37" s="28"/>
      <c r="C37" s="28"/>
      <c r="D37" s="28"/>
      <c r="E37" s="28"/>
      <c r="F37" s="28"/>
      <c r="G37" s="28"/>
      <c r="H37" s="28"/>
    </row>
    <row r="38" spans="1:8">
      <c r="A38" s="27" t="s">
        <v>435</v>
      </c>
      <c r="B38" s="27"/>
      <c r="C38" s="27"/>
      <c r="D38" s="27"/>
      <c r="E38" s="27"/>
      <c r="F38" s="27"/>
      <c r="G38" s="27"/>
      <c r="H38" s="27"/>
    </row>
    <row r="39" spans="1:8" ht="15">
      <c r="A39" s="1" t="s">
        <v>170</v>
      </c>
      <c r="B39" s="1" t="s">
        <v>311</v>
      </c>
      <c r="C39" s="1">
        <v>50.5</v>
      </c>
      <c r="D39" s="1">
        <v>92</v>
      </c>
      <c r="E39" s="1">
        <v>98</v>
      </c>
      <c r="F39" s="1">
        <v>86</v>
      </c>
      <c r="G39" s="1">
        <v>92</v>
      </c>
      <c r="H39" s="29"/>
    </row>
    <row r="40" spans="1:8" ht="15">
      <c r="A40" s="1" t="s">
        <v>171</v>
      </c>
      <c r="B40" s="1" t="s">
        <v>311</v>
      </c>
      <c r="C40" s="1">
        <v>2.42</v>
      </c>
      <c r="D40" s="1">
        <v>4.3600000000000003</v>
      </c>
      <c r="E40" s="1">
        <v>3.85</v>
      </c>
      <c r="F40" s="1">
        <v>4.6100000000000003</v>
      </c>
      <c r="G40" s="1">
        <v>4.6100000000000003</v>
      </c>
      <c r="H40" s="29"/>
    </row>
    <row r="41" spans="1:8" ht="15">
      <c r="A41" s="1" t="s">
        <v>172</v>
      </c>
      <c r="B41" s="1" t="s">
        <v>311</v>
      </c>
      <c r="C41" s="1">
        <v>2.81</v>
      </c>
      <c r="D41" s="1">
        <v>14.1</v>
      </c>
      <c r="E41" s="1">
        <v>11.54</v>
      </c>
      <c r="F41" s="1">
        <v>15.38</v>
      </c>
      <c r="G41" s="1">
        <v>15.38</v>
      </c>
      <c r="H41" s="29"/>
    </row>
    <row r="42" spans="1:8">
      <c r="A42" s="28" t="s">
        <v>349</v>
      </c>
      <c r="B42" s="28"/>
      <c r="C42" s="28"/>
      <c r="D42" s="28"/>
      <c r="E42" s="28"/>
      <c r="F42" s="28"/>
      <c r="G42" s="28"/>
      <c r="H42" s="28"/>
    </row>
  </sheetData>
  <mergeCells count="1">
    <mergeCell ref="I1:J1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C1" workbookViewId="0">
      <selection activeCell="N17" sqref="N17"/>
    </sheetView>
  </sheetViews>
  <sheetFormatPr baseColWidth="10" defaultRowHeight="13" x14ac:dyDescent="0"/>
  <cols>
    <col min="1" max="1" width="29.5703125" customWidth="1"/>
    <col min="8" max="8" width="10.7109375" style="16"/>
  </cols>
  <sheetData>
    <row r="1" spans="1:13">
      <c r="A1" s="26" t="s">
        <v>451</v>
      </c>
      <c r="I1" s="74" t="s">
        <v>461</v>
      </c>
      <c r="J1" s="74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I3" s="52">
        <f>C3*0.5239</f>
        <v>0</v>
      </c>
      <c r="J3" s="52">
        <f>D3*0.776862</f>
        <v>0</v>
      </c>
      <c r="K3" s="52">
        <f>E3*0.5815</f>
        <v>0</v>
      </c>
      <c r="L3" s="52">
        <f>F3*0.727463</f>
        <v>0</v>
      </c>
      <c r="M3" s="52">
        <f>G3*0.776862</f>
        <v>0</v>
      </c>
    </row>
    <row r="4" spans="1:13">
      <c r="A4" t="s">
        <v>436</v>
      </c>
      <c r="I4" s="52">
        <f t="shared" ref="I4:I21" si="0">C4*0.5239</f>
        <v>0</v>
      </c>
      <c r="J4" s="52">
        <f t="shared" ref="J4:J21" si="1">D4*0.776862</f>
        <v>0</v>
      </c>
      <c r="K4" s="52">
        <f t="shared" ref="K4:K21" si="2">E4*0.5815</f>
        <v>0</v>
      </c>
      <c r="L4" s="52">
        <f t="shared" ref="L4:L21" si="3">F4*0.727463</f>
        <v>0</v>
      </c>
      <c r="M4" s="52">
        <f t="shared" ref="M4:M21" si="4">G4*0.776862</f>
        <v>0</v>
      </c>
    </row>
    <row r="5" spans="1:13">
      <c r="A5" t="s">
        <v>437</v>
      </c>
      <c r="I5" s="52">
        <f t="shared" si="0"/>
        <v>0</v>
      </c>
      <c r="J5" s="52">
        <f t="shared" si="1"/>
        <v>0</v>
      </c>
      <c r="K5" s="52">
        <f t="shared" si="2"/>
        <v>0</v>
      </c>
      <c r="L5" s="52">
        <f t="shared" si="3"/>
        <v>0</v>
      </c>
      <c r="M5" s="52">
        <f t="shared" si="4"/>
        <v>0</v>
      </c>
    </row>
    <row r="6" spans="1:13">
      <c r="A6" t="s">
        <v>438</v>
      </c>
      <c r="I6" s="52">
        <f t="shared" si="0"/>
        <v>0</v>
      </c>
      <c r="J6" s="52">
        <f t="shared" si="1"/>
        <v>0</v>
      </c>
      <c r="K6" s="52">
        <f t="shared" si="2"/>
        <v>0</v>
      </c>
      <c r="L6" s="52">
        <f t="shared" si="3"/>
        <v>0</v>
      </c>
      <c r="M6" s="52">
        <f t="shared" si="4"/>
        <v>0</v>
      </c>
    </row>
    <row r="7" spans="1:13">
      <c r="I7" s="52"/>
      <c r="J7" s="52"/>
      <c r="K7" s="52"/>
      <c r="L7" s="52"/>
      <c r="M7" s="52"/>
    </row>
    <row r="8" spans="1:13">
      <c r="A8" t="s">
        <v>439</v>
      </c>
      <c r="I8" s="52">
        <f t="shared" si="0"/>
        <v>0</v>
      </c>
      <c r="J8" s="52">
        <f t="shared" si="1"/>
        <v>0</v>
      </c>
      <c r="K8" s="52">
        <f t="shared" si="2"/>
        <v>0</v>
      </c>
      <c r="L8" s="52">
        <f t="shared" si="3"/>
        <v>0</v>
      </c>
      <c r="M8" s="52">
        <f t="shared" si="4"/>
        <v>0</v>
      </c>
    </row>
    <row r="9" spans="1:13">
      <c r="A9" t="s">
        <v>440</v>
      </c>
      <c r="C9">
        <f>C30</f>
        <v>24.71</v>
      </c>
      <c r="D9">
        <f>D30</f>
        <v>36.46</v>
      </c>
      <c r="E9">
        <f>E30</f>
        <v>34.68</v>
      </c>
      <c r="F9">
        <f>F30</f>
        <v>36.4</v>
      </c>
      <c r="G9">
        <f>G30</f>
        <v>38.31</v>
      </c>
      <c r="I9" s="52">
        <f t="shared" si="0"/>
        <v>12.945569000000001</v>
      </c>
      <c r="J9" s="52">
        <f t="shared" si="1"/>
        <v>28.324388520000003</v>
      </c>
      <c r="K9" s="52">
        <f t="shared" si="2"/>
        <v>20.166419999999999</v>
      </c>
      <c r="L9" s="52">
        <f t="shared" si="3"/>
        <v>26.479653199999998</v>
      </c>
      <c r="M9" s="52">
        <f t="shared" si="4"/>
        <v>29.761583220000002</v>
      </c>
    </row>
    <row r="10" spans="1:13">
      <c r="A10" t="s">
        <v>441</v>
      </c>
      <c r="C10">
        <f>C32+C33+C34</f>
        <v>0</v>
      </c>
      <c r="D10">
        <f>D32+D33+D34</f>
        <v>9.76</v>
      </c>
      <c r="E10">
        <f>E32+E33+E34</f>
        <v>10.23</v>
      </c>
      <c r="F10">
        <f>F32+F33+F34</f>
        <v>10.91</v>
      </c>
      <c r="G10">
        <f>G32+G33+G34</f>
        <v>8.16</v>
      </c>
      <c r="I10" s="52">
        <f t="shared" si="0"/>
        <v>0</v>
      </c>
      <c r="J10" s="52">
        <f t="shared" si="1"/>
        <v>7.5821731200000002</v>
      </c>
      <c r="K10" s="52">
        <f t="shared" si="2"/>
        <v>5.9487450000000006</v>
      </c>
      <c r="L10" s="52">
        <f t="shared" si="3"/>
        <v>7.9366213299999995</v>
      </c>
      <c r="M10" s="52">
        <f t="shared" si="4"/>
        <v>6.3391939200000005</v>
      </c>
    </row>
    <row r="11" spans="1:13">
      <c r="A11" t="s">
        <v>442</v>
      </c>
      <c r="C11">
        <f>SUM(C8:C10)</f>
        <v>24.71</v>
      </c>
      <c r="D11">
        <f t="shared" ref="D11:G11" si="5">SUM(D8:D10)</f>
        <v>46.22</v>
      </c>
      <c r="E11">
        <f t="shared" si="5"/>
        <v>44.91</v>
      </c>
      <c r="F11">
        <f t="shared" si="5"/>
        <v>47.31</v>
      </c>
      <c r="G11">
        <f t="shared" si="5"/>
        <v>46.47</v>
      </c>
      <c r="I11" s="52">
        <f t="shared" si="0"/>
        <v>12.945569000000001</v>
      </c>
      <c r="J11" s="52">
        <f t="shared" si="1"/>
        <v>35.90656164</v>
      </c>
      <c r="K11" s="52">
        <f t="shared" si="2"/>
        <v>26.115164999999998</v>
      </c>
      <c r="L11" s="52">
        <f t="shared" si="3"/>
        <v>34.416274530000003</v>
      </c>
      <c r="M11" s="52">
        <f t="shared" si="4"/>
        <v>36.100777139999998</v>
      </c>
    </row>
    <row r="12" spans="1:13">
      <c r="I12" s="52"/>
      <c r="J12" s="52"/>
      <c r="K12" s="52"/>
      <c r="L12" s="52"/>
      <c r="M12" s="52"/>
    </row>
    <row r="13" spans="1:13">
      <c r="A13" t="s">
        <v>443</v>
      </c>
      <c r="I13" s="52">
        <f t="shared" si="0"/>
        <v>0</v>
      </c>
      <c r="J13" s="52">
        <f t="shared" si="1"/>
        <v>0</v>
      </c>
      <c r="K13" s="52">
        <f t="shared" si="2"/>
        <v>0</v>
      </c>
      <c r="L13" s="52">
        <f t="shared" si="3"/>
        <v>0</v>
      </c>
      <c r="M13" s="52">
        <f t="shared" si="4"/>
        <v>0</v>
      </c>
    </row>
    <row r="14" spans="1:13">
      <c r="A14" t="s">
        <v>444</v>
      </c>
      <c r="I14" s="52">
        <f t="shared" si="0"/>
        <v>0</v>
      </c>
      <c r="J14" s="52">
        <f t="shared" si="1"/>
        <v>0</v>
      </c>
      <c r="K14" s="52">
        <f t="shared" si="2"/>
        <v>0</v>
      </c>
      <c r="L14" s="52">
        <f t="shared" si="3"/>
        <v>0</v>
      </c>
      <c r="M14" s="52">
        <f t="shared" si="4"/>
        <v>0</v>
      </c>
    </row>
    <row r="15" spans="1:13">
      <c r="A15" t="s">
        <v>445</v>
      </c>
      <c r="C15">
        <f>C42+C43</f>
        <v>0</v>
      </c>
      <c r="D15">
        <f>D42+D43</f>
        <v>7.63</v>
      </c>
      <c r="E15">
        <f>E42+E43</f>
        <v>6.38</v>
      </c>
      <c r="F15">
        <f>F42+F43</f>
        <v>10.42</v>
      </c>
      <c r="G15">
        <f>G42+G43</f>
        <v>6.08</v>
      </c>
      <c r="I15" s="52">
        <f t="shared" si="0"/>
        <v>0</v>
      </c>
      <c r="J15" s="52">
        <f t="shared" si="1"/>
        <v>5.9274570600000001</v>
      </c>
      <c r="K15" s="52">
        <f t="shared" si="2"/>
        <v>3.7099700000000002</v>
      </c>
      <c r="L15" s="52">
        <f t="shared" si="3"/>
        <v>7.5801644599999998</v>
      </c>
      <c r="M15" s="52">
        <f t="shared" si="4"/>
        <v>4.7233209600000006</v>
      </c>
    </row>
    <row r="16" spans="1:13">
      <c r="A16" t="s">
        <v>446</v>
      </c>
      <c r="C16">
        <f>SUM(C13:C15)</f>
        <v>0</v>
      </c>
      <c r="D16">
        <f t="shared" ref="D16:G16" si="6">SUM(D13:D15)</f>
        <v>7.63</v>
      </c>
      <c r="E16">
        <f t="shared" si="6"/>
        <v>6.38</v>
      </c>
      <c r="F16">
        <f t="shared" si="6"/>
        <v>10.42</v>
      </c>
      <c r="G16">
        <f t="shared" si="6"/>
        <v>6.08</v>
      </c>
      <c r="I16" s="52">
        <f t="shared" si="0"/>
        <v>0</v>
      </c>
      <c r="J16" s="52">
        <f t="shared" si="1"/>
        <v>5.9274570600000001</v>
      </c>
      <c r="K16" s="52">
        <f t="shared" si="2"/>
        <v>3.7099700000000002</v>
      </c>
      <c r="L16" s="52">
        <f t="shared" si="3"/>
        <v>7.5801644599999998</v>
      </c>
      <c r="M16" s="52">
        <f t="shared" si="4"/>
        <v>4.7233209600000006</v>
      </c>
    </row>
    <row r="17" spans="1:13">
      <c r="I17" s="52"/>
      <c r="J17" s="52"/>
      <c r="K17" s="52"/>
      <c r="L17" s="52"/>
      <c r="M17" s="52"/>
    </row>
    <row r="18" spans="1:13">
      <c r="A18" t="s">
        <v>447</v>
      </c>
      <c r="C18" s="32">
        <f>C3+C8+C13</f>
        <v>0</v>
      </c>
      <c r="D18" s="32">
        <f>D3+D8+D13</f>
        <v>0</v>
      </c>
      <c r="E18" s="32">
        <f t="shared" ref="D18:G20" si="7">E3+E8+E13</f>
        <v>0</v>
      </c>
      <c r="F18" s="32">
        <f t="shared" si="7"/>
        <v>0</v>
      </c>
      <c r="G18" s="32">
        <f>G3+G8+G13</f>
        <v>0</v>
      </c>
      <c r="I18" s="52">
        <f t="shared" si="0"/>
        <v>0</v>
      </c>
      <c r="J18" s="52">
        <f t="shared" si="1"/>
        <v>0</v>
      </c>
      <c r="K18" s="52">
        <f t="shared" si="2"/>
        <v>0</v>
      </c>
      <c r="L18" s="52">
        <f t="shared" si="3"/>
        <v>0</v>
      </c>
      <c r="M18" s="52">
        <f t="shared" si="4"/>
        <v>0</v>
      </c>
    </row>
    <row r="19" spans="1:13">
      <c r="A19" t="s">
        <v>448</v>
      </c>
      <c r="C19" s="32">
        <f>C4+C9+C14</f>
        <v>24.71</v>
      </c>
      <c r="D19" s="32">
        <f>D4+D9+D14</f>
        <v>36.46</v>
      </c>
      <c r="E19" s="32">
        <f t="shared" si="7"/>
        <v>34.68</v>
      </c>
      <c r="F19" s="32">
        <f t="shared" si="7"/>
        <v>36.4</v>
      </c>
      <c r="G19" s="32">
        <f>G4+G9+G14</f>
        <v>38.31</v>
      </c>
      <c r="I19" s="52">
        <f t="shared" si="0"/>
        <v>12.945569000000001</v>
      </c>
      <c r="J19" s="52">
        <f t="shared" si="1"/>
        <v>28.324388520000003</v>
      </c>
      <c r="K19" s="52">
        <f t="shared" si="2"/>
        <v>20.166419999999999</v>
      </c>
      <c r="L19" s="52">
        <f t="shared" si="3"/>
        <v>26.479653199999998</v>
      </c>
      <c r="M19" s="52">
        <f t="shared" si="4"/>
        <v>29.761583220000002</v>
      </c>
    </row>
    <row r="20" spans="1:13">
      <c r="A20" t="s">
        <v>449</v>
      </c>
      <c r="C20" s="32">
        <f>C5+C10+C15</f>
        <v>0</v>
      </c>
      <c r="D20" s="32">
        <f t="shared" si="7"/>
        <v>17.39</v>
      </c>
      <c r="E20" s="32">
        <f t="shared" si="7"/>
        <v>16.61</v>
      </c>
      <c r="F20" s="32">
        <f t="shared" si="7"/>
        <v>21.33</v>
      </c>
      <c r="G20" s="32">
        <f t="shared" si="7"/>
        <v>14.24</v>
      </c>
      <c r="I20" s="52">
        <f t="shared" si="0"/>
        <v>0</v>
      </c>
      <c r="J20" s="52">
        <f t="shared" si="1"/>
        <v>13.509630180000002</v>
      </c>
      <c r="K20" s="52">
        <f t="shared" si="2"/>
        <v>9.6587150000000008</v>
      </c>
      <c r="L20" s="52">
        <f t="shared" si="3"/>
        <v>15.516785789999998</v>
      </c>
      <c r="M20" s="52">
        <f t="shared" si="4"/>
        <v>11.06251488</v>
      </c>
    </row>
    <row r="21" spans="1:13">
      <c r="A21" t="s">
        <v>525</v>
      </c>
      <c r="C21" s="32">
        <f>SUM(C18:C20)</f>
        <v>24.71</v>
      </c>
      <c r="D21" s="32">
        <f t="shared" ref="D21:F21" si="8">SUM(D18:D20)</f>
        <v>53.85</v>
      </c>
      <c r="E21" s="32">
        <f t="shared" si="8"/>
        <v>51.29</v>
      </c>
      <c r="F21" s="32">
        <f t="shared" si="8"/>
        <v>57.73</v>
      </c>
      <c r="G21" s="32">
        <f>SUM(G18:G20)</f>
        <v>52.550000000000004</v>
      </c>
      <c r="I21" s="52">
        <f t="shared" si="0"/>
        <v>12.945569000000001</v>
      </c>
      <c r="J21" s="52">
        <f t="shared" si="1"/>
        <v>41.834018700000001</v>
      </c>
      <c r="K21" s="52">
        <f t="shared" si="2"/>
        <v>29.825135</v>
      </c>
      <c r="L21" s="52">
        <f t="shared" si="3"/>
        <v>41.996438989999994</v>
      </c>
      <c r="M21" s="52">
        <f t="shared" si="4"/>
        <v>40.824098100000008</v>
      </c>
    </row>
    <row r="25" spans="1:13">
      <c r="A25" s="5" t="s">
        <v>178</v>
      </c>
    </row>
    <row r="26" spans="1:13" ht="15">
      <c r="A26" s="1" t="s">
        <v>331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324</v>
      </c>
      <c r="B27" s="28"/>
      <c r="C27" s="28"/>
      <c r="D27" s="28"/>
      <c r="E27" s="28"/>
      <c r="F27" s="28"/>
      <c r="G27" s="28"/>
      <c r="H27" s="28"/>
    </row>
    <row r="28" spans="1:13">
      <c r="A28" s="28" t="s">
        <v>434</v>
      </c>
      <c r="B28" s="28"/>
      <c r="C28" s="28"/>
      <c r="D28" s="28"/>
      <c r="E28" s="28"/>
      <c r="F28" s="28"/>
      <c r="G28" s="28"/>
      <c r="H28" s="28"/>
    </row>
    <row r="29" spans="1:13">
      <c r="A29" s="27" t="s">
        <v>435</v>
      </c>
      <c r="B29" s="27"/>
      <c r="C29" s="27"/>
      <c r="D29" s="27"/>
      <c r="E29" s="27"/>
      <c r="F29" s="27"/>
      <c r="G29" s="27"/>
      <c r="H29" s="27"/>
    </row>
    <row r="30" spans="1:13" ht="15">
      <c r="A30" s="1" t="s">
        <v>174</v>
      </c>
      <c r="B30" s="1" t="s">
        <v>311</v>
      </c>
      <c r="C30" s="1">
        <v>24.71</v>
      </c>
      <c r="D30" s="1">
        <v>36.46</v>
      </c>
      <c r="E30" s="1">
        <v>34.68</v>
      </c>
      <c r="F30" s="1">
        <v>36.4</v>
      </c>
      <c r="G30" s="1">
        <v>38.31</v>
      </c>
      <c r="H30" s="29"/>
    </row>
    <row r="31" spans="1:13">
      <c r="A31" s="28" t="s">
        <v>347</v>
      </c>
      <c r="B31" s="28"/>
      <c r="C31" s="28"/>
      <c r="D31" s="28"/>
      <c r="E31" s="28"/>
      <c r="F31" s="28"/>
      <c r="G31" s="28"/>
      <c r="H31" s="28"/>
    </row>
    <row r="32" spans="1:13" ht="15">
      <c r="A32" s="1" t="s">
        <v>175</v>
      </c>
      <c r="B32" s="1" t="s">
        <v>311</v>
      </c>
      <c r="C32" s="1">
        <v>0</v>
      </c>
      <c r="D32" s="1">
        <v>3.29</v>
      </c>
      <c r="E32" s="1">
        <v>4.82</v>
      </c>
      <c r="F32" s="1">
        <v>2.06</v>
      </c>
      <c r="G32" s="1">
        <v>3</v>
      </c>
      <c r="H32" s="29" t="s">
        <v>520</v>
      </c>
    </row>
    <row r="33" spans="1:8" ht="15">
      <c r="A33" s="1" t="s">
        <v>176</v>
      </c>
      <c r="B33" s="1" t="s">
        <v>311</v>
      </c>
      <c r="C33" s="1">
        <v>0</v>
      </c>
      <c r="D33" s="1">
        <v>2.5299999999999998</v>
      </c>
      <c r="E33" s="1">
        <v>2.78</v>
      </c>
      <c r="F33" s="1">
        <v>2.41</v>
      </c>
      <c r="G33" s="1">
        <v>2.41</v>
      </c>
      <c r="H33" s="29" t="s">
        <v>578</v>
      </c>
    </row>
    <row r="34" spans="1:8" ht="15">
      <c r="A34" s="1" t="s">
        <v>177</v>
      </c>
      <c r="B34" s="1" t="s">
        <v>311</v>
      </c>
      <c r="C34" s="1">
        <v>0</v>
      </c>
      <c r="D34" s="1">
        <v>3.94</v>
      </c>
      <c r="E34" s="1">
        <v>2.63</v>
      </c>
      <c r="F34" s="1">
        <v>6.44</v>
      </c>
      <c r="G34" s="1">
        <v>2.75</v>
      </c>
      <c r="H34" s="29" t="s">
        <v>520</v>
      </c>
    </row>
    <row r="37" spans="1:8">
      <c r="A37" s="5" t="s">
        <v>141</v>
      </c>
    </row>
    <row r="38" spans="1:8" ht="15">
      <c r="A38" s="1" t="s">
        <v>140</v>
      </c>
      <c r="B38" s="1" t="s">
        <v>481</v>
      </c>
      <c r="C38" s="1" t="s">
        <v>482</v>
      </c>
      <c r="D38" s="1" t="s">
        <v>483</v>
      </c>
      <c r="E38" s="1">
        <v>2008</v>
      </c>
      <c r="F38" s="1">
        <v>2009</v>
      </c>
      <c r="G38" s="1" t="s">
        <v>484</v>
      </c>
      <c r="H38" s="29"/>
    </row>
    <row r="39" spans="1:8">
      <c r="A39" s="28" t="s">
        <v>324</v>
      </c>
      <c r="B39" s="28"/>
      <c r="C39" s="28"/>
      <c r="D39" s="28"/>
      <c r="E39" s="28"/>
      <c r="F39" s="28"/>
      <c r="G39" s="28"/>
      <c r="H39" s="28"/>
    </row>
    <row r="40" spans="1:8">
      <c r="A40" s="28" t="s">
        <v>375</v>
      </c>
      <c r="B40" s="28"/>
      <c r="C40" s="28"/>
      <c r="D40" s="28"/>
      <c r="E40" s="28"/>
      <c r="F40" s="28"/>
      <c r="G40" s="28"/>
      <c r="H40" s="28"/>
    </row>
    <row r="41" spans="1:8">
      <c r="A41" s="28" t="s">
        <v>347</v>
      </c>
      <c r="B41" s="28"/>
      <c r="C41" s="28"/>
      <c r="D41" s="28"/>
      <c r="E41" s="28"/>
      <c r="F41" s="28"/>
      <c r="G41" s="28"/>
      <c r="H41" s="28"/>
    </row>
    <row r="42" spans="1:8" ht="15">
      <c r="A42" s="1" t="s">
        <v>176</v>
      </c>
      <c r="B42" s="1" t="s">
        <v>311</v>
      </c>
      <c r="C42" s="1">
        <v>0</v>
      </c>
      <c r="D42" s="1">
        <v>2.99</v>
      </c>
      <c r="E42" s="1">
        <v>3.28</v>
      </c>
      <c r="F42" s="1">
        <v>2.84</v>
      </c>
      <c r="G42" s="1">
        <v>2.84</v>
      </c>
      <c r="H42" s="29" t="s">
        <v>578</v>
      </c>
    </row>
    <row r="43" spans="1:8" ht="15">
      <c r="A43" s="1" t="s">
        <v>177</v>
      </c>
      <c r="B43" s="1" t="s">
        <v>311</v>
      </c>
      <c r="C43" s="1">
        <v>0</v>
      </c>
      <c r="D43" s="1">
        <v>4.6399999999999997</v>
      </c>
      <c r="E43" s="1">
        <v>3.1</v>
      </c>
      <c r="F43" s="1">
        <v>7.58</v>
      </c>
      <c r="G43" s="1">
        <v>3.24</v>
      </c>
      <c r="H43" s="29" t="s">
        <v>520</v>
      </c>
    </row>
  </sheetData>
  <mergeCells count="1">
    <mergeCell ref="I1:J1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B55" workbookViewId="0">
      <selection activeCell="F54" sqref="F54"/>
    </sheetView>
  </sheetViews>
  <sheetFormatPr baseColWidth="10" defaultRowHeight="13" x14ac:dyDescent="0"/>
  <cols>
    <col min="1" max="1" width="15.5703125" style="54" customWidth="1"/>
    <col min="2" max="6" width="10.7109375" style="54"/>
    <col min="7" max="7" width="5.7109375" style="54" customWidth="1"/>
    <col min="8" max="8" width="18" style="54" customWidth="1"/>
    <col min="9" max="9" width="15.140625" style="54" bestFit="1" customWidth="1"/>
    <col min="10" max="10" width="10.7109375" style="54"/>
    <col min="11" max="11" width="5.5703125" style="54" customWidth="1"/>
    <col min="12" max="16384" width="10.7109375" style="54"/>
  </cols>
  <sheetData>
    <row r="1" spans="1:13">
      <c r="A1" s="54" t="s">
        <v>573</v>
      </c>
      <c r="H1" s="57" t="s">
        <v>510</v>
      </c>
    </row>
    <row r="2" spans="1:13">
      <c r="A2" s="54" t="s">
        <v>571</v>
      </c>
    </row>
    <row r="4" spans="1:13">
      <c r="A4" s="57" t="s">
        <v>564</v>
      </c>
      <c r="H4" s="57" t="s">
        <v>565</v>
      </c>
    </row>
    <row r="5" spans="1:13">
      <c r="A5" s="54" t="s">
        <v>2</v>
      </c>
      <c r="B5" s="55" t="s">
        <v>482</v>
      </c>
      <c r="C5" s="55" t="s">
        <v>483</v>
      </c>
      <c r="D5" s="55" t="s">
        <v>27</v>
      </c>
      <c r="E5" s="55" t="s">
        <v>28</v>
      </c>
      <c r="F5" s="55" t="s">
        <v>484</v>
      </c>
      <c r="H5" s="57" t="s">
        <v>511</v>
      </c>
      <c r="I5" s="57" t="s">
        <v>512</v>
      </c>
      <c r="J5" s="57" t="s">
        <v>566</v>
      </c>
    </row>
    <row r="6" spans="1:13">
      <c r="A6" s="63" t="s">
        <v>3</v>
      </c>
      <c r="B6" s="54">
        <f>Australia!I21</f>
        <v>3198.6055635799999</v>
      </c>
      <c r="C6" s="54">
        <f>Australia!J21</f>
        <v>7369.8593756999999</v>
      </c>
      <c r="D6" s="54">
        <f>Australia!K21</f>
        <v>5580.569195</v>
      </c>
      <c r="E6" s="54">
        <f>Australia!L21</f>
        <v>6509.7731764799983</v>
      </c>
      <c r="F6" s="54">
        <f>Australia!M21</f>
        <v>7356.3101384999991</v>
      </c>
      <c r="H6" s="57" t="s">
        <v>552</v>
      </c>
      <c r="I6" s="54">
        <v>641</v>
      </c>
      <c r="J6" s="54">
        <f>I6/3</f>
        <v>213.66666666666666</v>
      </c>
      <c r="L6" s="57" t="s">
        <v>40</v>
      </c>
      <c r="M6" s="54">
        <f>F6+F8+F13+F14+F19+F20+F32+F36+F37</f>
        <v>49970.380687896002</v>
      </c>
    </row>
    <row r="7" spans="1:13">
      <c r="A7" s="63" t="s">
        <v>532</v>
      </c>
      <c r="B7" s="54">
        <f>Belgium!I21</f>
        <v>1843.2734850000002</v>
      </c>
      <c r="C7" s="54">
        <f>Belgium!J21</f>
        <v>2322.4358579999998</v>
      </c>
      <c r="D7" s="54">
        <f>Belgium!K21</f>
        <v>2576.9079839999995</v>
      </c>
      <c r="E7" s="54">
        <f>Belgium!L21</f>
        <v>2396.9855280000002</v>
      </c>
      <c r="F7" s="54">
        <f>Belgium!M21</f>
        <v>2286.425268</v>
      </c>
      <c r="H7" s="57" t="s">
        <v>7</v>
      </c>
      <c r="I7" s="54">
        <v>214</v>
      </c>
      <c r="J7" s="57">
        <f t="shared" ref="J7:J39" si="0">I7/3</f>
        <v>71.333333333333329</v>
      </c>
    </row>
    <row r="8" spans="1:13">
      <c r="A8" s="63" t="s">
        <v>533</v>
      </c>
      <c r="B8" s="54">
        <f>Canada!I21</f>
        <v>576.09457953000003</v>
      </c>
      <c r="C8" s="54">
        <f>Canada!J21</f>
        <v>1199.8989299999998</v>
      </c>
      <c r="D8" s="54">
        <f>Canada!K21</f>
        <v>1155.6937880099999</v>
      </c>
      <c r="E8" s="54">
        <f>Canada!L21</f>
        <v>2243.2004913600003</v>
      </c>
      <c r="F8" s="54">
        <f>Canada!M21</f>
        <v>2025.8192799999995</v>
      </c>
      <c r="H8" s="57" t="s">
        <v>553</v>
      </c>
      <c r="I8" s="54">
        <v>409</v>
      </c>
      <c r="J8" s="57">
        <f t="shared" si="0"/>
        <v>136.33333333333334</v>
      </c>
    </row>
    <row r="9" spans="1:13">
      <c r="A9" s="54" t="s">
        <v>15</v>
      </c>
      <c r="J9" s="57">
        <f t="shared" si="0"/>
        <v>0</v>
      </c>
    </row>
    <row r="10" spans="1:13" s="57" customFormat="1">
      <c r="H10" s="57" t="s">
        <v>544</v>
      </c>
      <c r="I10" s="57">
        <v>230</v>
      </c>
      <c r="J10" s="57">
        <f t="shared" si="0"/>
        <v>76.666666666666671</v>
      </c>
    </row>
    <row r="11" spans="1:13" s="57" customFormat="1">
      <c r="H11" s="57" t="s">
        <v>547</v>
      </c>
      <c r="I11" s="57">
        <v>214</v>
      </c>
      <c r="J11" s="57">
        <f t="shared" si="0"/>
        <v>71.333333333333329</v>
      </c>
    </row>
    <row r="12" spans="1:13" s="57" customFormat="1">
      <c r="H12" s="57" t="s">
        <v>545</v>
      </c>
      <c r="I12" s="57">
        <v>157</v>
      </c>
      <c r="J12" s="57">
        <f t="shared" si="0"/>
        <v>52.333333333333336</v>
      </c>
    </row>
    <row r="13" spans="1:13">
      <c r="A13" s="63" t="s">
        <v>534</v>
      </c>
      <c r="B13" s="54">
        <f>France!I21</f>
        <v>3077.7564150000003</v>
      </c>
      <c r="C13" s="54">
        <f>France!J21</f>
        <v>3347.8090139999999</v>
      </c>
      <c r="D13" s="54">
        <f>France!K21</f>
        <v>3733.4516129999997</v>
      </c>
      <c r="E13" s="54">
        <f>France!L21</f>
        <v>3802.3484520000002</v>
      </c>
      <c r="F13" s="54">
        <f>France!M21</f>
        <v>3463.5640200000007</v>
      </c>
      <c r="H13" s="57" t="s">
        <v>546</v>
      </c>
      <c r="I13" s="54">
        <v>1800</v>
      </c>
      <c r="J13" s="57">
        <f t="shared" si="0"/>
        <v>600</v>
      </c>
    </row>
    <row r="14" spans="1:13">
      <c r="A14" s="63" t="s">
        <v>23</v>
      </c>
      <c r="B14" s="54">
        <f>Germany!I21</f>
        <v>6954.5222549999999</v>
      </c>
      <c r="C14" s="54">
        <f>Germany!J21</f>
        <v>10379.133930000002</v>
      </c>
      <c r="D14" s="54">
        <f>Germany!K21</f>
        <v>10997.916902999999</v>
      </c>
      <c r="E14" s="54">
        <f>Germany!L21</f>
        <v>11002.236756</v>
      </c>
      <c r="F14" s="54">
        <f>Germany!M21</f>
        <v>10376.074032</v>
      </c>
      <c r="H14" s="57" t="s">
        <v>548</v>
      </c>
      <c r="I14" s="54">
        <v>1800</v>
      </c>
      <c r="J14" s="57">
        <f t="shared" si="0"/>
        <v>600</v>
      </c>
    </row>
    <row r="15" spans="1:13">
      <c r="A15" s="54" t="s">
        <v>4</v>
      </c>
      <c r="B15" s="54">
        <f>Hungary!I21</f>
        <v>72.473275709999996</v>
      </c>
      <c r="C15" s="54">
        <f>Hungary!J21</f>
        <v>445.85027243100006</v>
      </c>
      <c r="D15" s="54">
        <f>Hungary!K21</f>
        <v>608.45083622999994</v>
      </c>
      <c r="E15" s="54">
        <f>Hungary!L21</f>
        <v>542.30501107440011</v>
      </c>
      <c r="F15" s="54">
        <f>Hungary!M21</f>
        <v>378.85268722950002</v>
      </c>
      <c r="J15" s="57">
        <f t="shared" si="0"/>
        <v>0</v>
      </c>
    </row>
    <row r="16" spans="1:13">
      <c r="A16" s="63" t="s">
        <v>8</v>
      </c>
      <c r="H16" s="57" t="s">
        <v>554</v>
      </c>
      <c r="I16" s="54">
        <v>1</v>
      </c>
      <c r="J16" s="57">
        <f t="shared" si="0"/>
        <v>0.33333333333333331</v>
      </c>
    </row>
    <row r="17" spans="1:10">
      <c r="A17" s="63" t="s">
        <v>12</v>
      </c>
      <c r="B17" s="54">
        <f>Ireland!I21</f>
        <v>0</v>
      </c>
      <c r="C17" s="54">
        <f>Ireland!J21</f>
        <v>62.427264000000001</v>
      </c>
      <c r="D17" s="54">
        <f>Ireland!K21</f>
        <v>64.918216000000001</v>
      </c>
      <c r="E17" s="54">
        <v>0</v>
      </c>
      <c r="F17" s="56">
        <v>0</v>
      </c>
      <c r="H17" s="57" t="s">
        <v>549</v>
      </c>
      <c r="I17" s="54">
        <v>143</v>
      </c>
      <c r="J17" s="57">
        <f t="shared" si="0"/>
        <v>47.666666666666664</v>
      </c>
    </row>
    <row r="18" spans="1:10">
      <c r="A18" s="54" t="s">
        <v>16</v>
      </c>
      <c r="B18" s="54">
        <f>Israel!I21</f>
        <v>0</v>
      </c>
      <c r="C18" s="54">
        <f>Israel!J21</f>
        <v>531.43014657999993</v>
      </c>
      <c r="D18" s="54">
        <f>Israel!K21</f>
        <v>433.71833099999998</v>
      </c>
      <c r="E18" s="54">
        <f>Israel!L21</f>
        <v>487.69289400000002</v>
      </c>
      <c r="F18" s="54">
        <f>Israel!M21</f>
        <v>606.51539600000001</v>
      </c>
      <c r="J18" s="57">
        <f t="shared" si="0"/>
        <v>0</v>
      </c>
    </row>
    <row r="19" spans="1:10">
      <c r="A19" s="63" t="s">
        <v>20</v>
      </c>
      <c r="B19" s="54">
        <f>Italy!I21</f>
        <v>0</v>
      </c>
      <c r="C19" s="54">
        <f>Italy!J21</f>
        <v>2051.6014799999998</v>
      </c>
      <c r="D19" s="54">
        <f>Italy!K21</f>
        <v>0</v>
      </c>
      <c r="E19" s="54">
        <f>Italy!L21</f>
        <v>0</v>
      </c>
      <c r="F19" s="54">
        <f>Italy!M21</f>
        <v>2051.6014799999998</v>
      </c>
      <c r="H19" s="57" t="s">
        <v>536</v>
      </c>
      <c r="J19" s="57">
        <f t="shared" si="0"/>
        <v>0</v>
      </c>
    </row>
    <row r="20" spans="1:10">
      <c r="A20" s="63" t="s">
        <v>24</v>
      </c>
      <c r="B20" s="54">
        <f>Japan!I21</f>
        <v>0</v>
      </c>
      <c r="C20" s="54">
        <f>Japan!J21</f>
        <v>466.23263284800004</v>
      </c>
      <c r="D20" s="54">
        <f>Japan!K21</f>
        <v>0</v>
      </c>
      <c r="E20" s="54">
        <f>Japan!L21</f>
        <v>454.25105224200001</v>
      </c>
      <c r="F20" s="54">
        <f>Japan!M21</f>
        <v>416.08844409599999</v>
      </c>
      <c r="H20" s="57" t="s">
        <v>555</v>
      </c>
      <c r="I20" s="54">
        <v>15000</v>
      </c>
      <c r="J20" s="57">
        <f t="shared" si="0"/>
        <v>5000</v>
      </c>
    </row>
    <row r="21" spans="1:10">
      <c r="A21" s="54" t="s">
        <v>5</v>
      </c>
      <c r="B21" s="54">
        <f>Korea!I21</f>
        <v>799.92869827263996</v>
      </c>
      <c r="C21" s="54">
        <f>Korea!J21</f>
        <v>1981.1217196782602</v>
      </c>
      <c r="D21" s="54">
        <f>Korea!K21</f>
        <v>1717.36127283</v>
      </c>
      <c r="E21" s="54">
        <f>Korea!L21</f>
        <v>1944.6366758419997</v>
      </c>
      <c r="F21" s="54">
        <f>Korea!M21</f>
        <v>2005.7547928896099</v>
      </c>
      <c r="J21" s="57">
        <f t="shared" si="0"/>
        <v>0</v>
      </c>
    </row>
    <row r="22" spans="1:10" s="57" customFormat="1">
      <c r="H22" s="69" t="s">
        <v>539</v>
      </c>
      <c r="I22" s="57">
        <v>0.82</v>
      </c>
      <c r="J22" s="57">
        <f t="shared" si="0"/>
        <v>0.27333333333333332</v>
      </c>
    </row>
    <row r="23" spans="1:10">
      <c r="A23" s="54" t="s">
        <v>9</v>
      </c>
      <c r="H23" s="57" t="s">
        <v>550</v>
      </c>
      <c r="I23" s="54">
        <v>13</v>
      </c>
      <c r="J23" s="57">
        <f t="shared" si="0"/>
        <v>4.333333333333333</v>
      </c>
    </row>
    <row r="24" spans="1:10" s="57" customFormat="1">
      <c r="H24" s="69" t="s">
        <v>540</v>
      </c>
      <c r="I24" s="57">
        <v>1</v>
      </c>
      <c r="J24" s="57">
        <f t="shared" si="0"/>
        <v>0.33333333333333331</v>
      </c>
    </row>
    <row r="25" spans="1:10">
      <c r="A25" s="54" t="s">
        <v>13</v>
      </c>
      <c r="B25" s="54">
        <f>Mexico!I21</f>
        <v>0</v>
      </c>
      <c r="C25" s="54">
        <f>Mexico!J21</f>
        <v>5780.7389193219988</v>
      </c>
      <c r="D25" s="54">
        <f>Mexico!K21</f>
        <v>14212.083734721002</v>
      </c>
      <c r="E25" s="54">
        <f>Mexico!L21</f>
        <v>711.82364849999999</v>
      </c>
      <c r="F25" s="54">
        <f>Mexico!M21</f>
        <v>713.38057430000003</v>
      </c>
      <c r="J25" s="57">
        <f t="shared" si="0"/>
        <v>0</v>
      </c>
    </row>
    <row r="26" spans="1:10">
      <c r="A26" s="63" t="s">
        <v>17</v>
      </c>
      <c r="B26" s="54">
        <f>Netherlands!I21</f>
        <v>58.432905000000005</v>
      </c>
      <c r="C26" s="54">
        <f>Netherlands!J21</f>
        <v>449.13690600000001</v>
      </c>
      <c r="D26" s="54">
        <f>Netherlands!K21</f>
        <v>475.18074099999995</v>
      </c>
      <c r="E26" s="54">
        <f>Netherlands!L21</f>
        <v>452.33399400000002</v>
      </c>
      <c r="F26" s="54">
        <f>Netherlands!M21</f>
        <v>471.66523800000004</v>
      </c>
      <c r="H26" s="57" t="s">
        <v>551</v>
      </c>
      <c r="I26" s="54">
        <v>443</v>
      </c>
      <c r="J26" s="57">
        <f t="shared" si="0"/>
        <v>147.66666666666666</v>
      </c>
    </row>
    <row r="27" spans="1:10">
      <c r="A27" s="63" t="s">
        <v>21</v>
      </c>
      <c r="B27" s="54">
        <f>'New Zealand'!I21</f>
        <v>12.945569000000001</v>
      </c>
      <c r="C27" s="54">
        <f>'New Zealand'!J21</f>
        <v>41.834018700000001</v>
      </c>
      <c r="D27" s="54">
        <f>'New Zealand'!K21</f>
        <v>29.825135</v>
      </c>
      <c r="E27" s="54">
        <f>'New Zealand'!L21</f>
        <v>41.996438989999994</v>
      </c>
      <c r="F27" s="54">
        <f>'New Zealand'!M21</f>
        <v>40.824098100000008</v>
      </c>
      <c r="H27" s="57" t="s">
        <v>556</v>
      </c>
      <c r="I27" s="54">
        <v>74</v>
      </c>
      <c r="J27" s="57">
        <f t="shared" si="0"/>
        <v>24.666666666666668</v>
      </c>
    </row>
    <row r="28" spans="1:10">
      <c r="A28" s="63" t="s">
        <v>25</v>
      </c>
      <c r="B28" s="54">
        <f>Norway!I21</f>
        <v>562.76123903999996</v>
      </c>
      <c r="C28" s="54">
        <f>Norway!J21</f>
        <v>932.11423727999977</v>
      </c>
      <c r="D28" s="54">
        <f>Norway!K21</f>
        <v>769.01425581000001</v>
      </c>
      <c r="E28" s="54">
        <f>Norway!L21</f>
        <v>936.49097394</v>
      </c>
      <c r="F28" s="54">
        <f>Norway!M21</f>
        <v>953.07377107999991</v>
      </c>
      <c r="H28" s="57" t="s">
        <v>557</v>
      </c>
      <c r="I28" s="54">
        <v>1000</v>
      </c>
      <c r="J28" s="57">
        <f t="shared" si="0"/>
        <v>333.33333333333331</v>
      </c>
    </row>
    <row r="29" spans="1:10">
      <c r="A29" s="54" t="s">
        <v>6</v>
      </c>
      <c r="B29" s="54">
        <f>Poland!I21</f>
        <v>445.67503689699998</v>
      </c>
      <c r="C29" s="54">
        <f>Poland!J21</f>
        <v>765.70516040999996</v>
      </c>
      <c r="D29" s="54">
        <f>Poland!K21</f>
        <v>255.70973172000004</v>
      </c>
      <c r="E29" s="54">
        <f>Poland!L21</f>
        <v>1052.60605824</v>
      </c>
      <c r="F29" s="54">
        <f>Poland!M21</f>
        <v>1170.5498631600001</v>
      </c>
      <c r="J29" s="57">
        <f t="shared" si="0"/>
        <v>0</v>
      </c>
    </row>
    <row r="30" spans="1:10" s="57" customFormat="1">
      <c r="H30" s="57" t="s">
        <v>560</v>
      </c>
      <c r="I30" s="57">
        <v>51</v>
      </c>
      <c r="J30" s="57">
        <f t="shared" si="0"/>
        <v>17</v>
      </c>
    </row>
    <row r="31" spans="1:10" s="57" customFormat="1">
      <c r="H31" s="69" t="s">
        <v>541</v>
      </c>
      <c r="I31" s="57">
        <v>11</v>
      </c>
      <c r="J31" s="57">
        <f t="shared" si="0"/>
        <v>3.6666666666666665</v>
      </c>
    </row>
    <row r="32" spans="1:10">
      <c r="A32" s="63" t="s">
        <v>10</v>
      </c>
      <c r="B32" s="54">
        <f>Spain!I21</f>
        <v>2162.8562849999998</v>
      </c>
      <c r="C32" s="54">
        <f>Spain!J21</f>
        <v>3050.5045139999997</v>
      </c>
      <c r="D32" s="54">
        <f>Spain!K21</f>
        <v>2788.963949</v>
      </c>
      <c r="E32" s="54">
        <f>Spain!L21</f>
        <v>3155.6631120000002</v>
      </c>
      <c r="F32" s="54">
        <f>Spain!M21</f>
        <v>3547.1834159999999</v>
      </c>
      <c r="H32" s="57" t="s">
        <v>561</v>
      </c>
      <c r="I32" s="54">
        <v>536</v>
      </c>
      <c r="J32" s="57">
        <f t="shared" si="0"/>
        <v>178.66666666666666</v>
      </c>
    </row>
    <row r="33" spans="1:10">
      <c r="A33" s="64" t="s">
        <v>14</v>
      </c>
      <c r="B33" s="54">
        <f>Sweden!I21</f>
        <v>0</v>
      </c>
      <c r="C33" s="54">
        <f>Sweden!J21</f>
        <v>3598.2736165400001</v>
      </c>
      <c r="D33" s="54">
        <f>Sweden!K21</f>
        <v>3308.3691200000003</v>
      </c>
      <c r="E33" s="54">
        <f>Sweden!L21</f>
        <v>3371.0508100000002</v>
      </c>
      <c r="F33" s="54">
        <f>Sweden!M21</f>
        <v>3335.4704399999996</v>
      </c>
      <c r="H33" s="57" t="s">
        <v>562</v>
      </c>
      <c r="I33" s="54">
        <v>1143</v>
      </c>
      <c r="J33" s="57">
        <f t="shared" si="0"/>
        <v>381</v>
      </c>
    </row>
    <row r="34" spans="1:10" s="57" customFormat="1">
      <c r="H34" s="57" t="s">
        <v>558</v>
      </c>
      <c r="I34" s="57">
        <v>162</v>
      </c>
      <c r="J34" s="57">
        <f t="shared" si="0"/>
        <v>54</v>
      </c>
    </row>
    <row r="35" spans="1:10">
      <c r="A35" s="54" t="s">
        <v>18</v>
      </c>
      <c r="B35" s="54">
        <f>Turkey!I21</f>
        <v>179.35679999999999</v>
      </c>
      <c r="C35" s="54">
        <f>Turkey!J21</f>
        <v>732.43120935000002</v>
      </c>
      <c r="D35" s="54">
        <f>Turkey!K21</f>
        <v>564.11534400000005</v>
      </c>
      <c r="E35" s="54">
        <f>Turkey!L21</f>
        <v>747.47579400000006</v>
      </c>
      <c r="F35" s="54">
        <f>Turkey!M21</f>
        <v>750.29759000000001</v>
      </c>
      <c r="J35" s="57">
        <f t="shared" si="0"/>
        <v>0</v>
      </c>
    </row>
    <row r="36" spans="1:10">
      <c r="A36" s="63" t="s">
        <v>22</v>
      </c>
      <c r="B36" s="54">
        <f>U.K.!I21</f>
        <v>4218.7087350000002</v>
      </c>
      <c r="C36" s="54">
        <f>U.K.!J21</f>
        <v>5269.2871095</v>
      </c>
      <c r="D36" s="54">
        <f>U.K.!K21</f>
        <v>5449.6269629999997</v>
      </c>
      <c r="E36" s="54">
        <f>U.K.!L21</f>
        <v>4573.4375704000004</v>
      </c>
      <c r="F36" s="54">
        <f>U.K.!M21</f>
        <v>5646.4198773000007</v>
      </c>
      <c r="H36" s="57" t="s">
        <v>563</v>
      </c>
      <c r="I36" s="57">
        <v>2471</v>
      </c>
      <c r="J36" s="57">
        <f t="shared" si="0"/>
        <v>823.66666666666663</v>
      </c>
    </row>
    <row r="37" spans="1:10">
      <c r="A37" s="63" t="s">
        <v>26</v>
      </c>
      <c r="B37" s="54">
        <f>U.S.!C21</f>
        <v>4341.5</v>
      </c>
      <c r="C37" s="54">
        <f>U.S.!D21</f>
        <v>12481.979999999998</v>
      </c>
      <c r="D37" s="54">
        <f>U.S.!E21</f>
        <v>9833.09</v>
      </c>
      <c r="E37" s="54">
        <f>U.S.!F21</f>
        <v>12515.550000000001</v>
      </c>
      <c r="F37" s="54">
        <f>U.S.!G21</f>
        <v>15087.32</v>
      </c>
      <c r="H37" s="57" t="s">
        <v>559</v>
      </c>
      <c r="I37" s="54">
        <v>1704</v>
      </c>
      <c r="J37" s="57">
        <f t="shared" si="0"/>
        <v>568</v>
      </c>
    </row>
    <row r="38" spans="1:10" s="57" customFormat="1">
      <c r="H38" s="57" t="s">
        <v>567</v>
      </c>
      <c r="I38" s="57">
        <v>1055</v>
      </c>
      <c r="J38" s="57">
        <f t="shared" si="0"/>
        <v>351.66666666666669</v>
      </c>
    </row>
    <row r="39" spans="1:10">
      <c r="A39" s="54" t="s">
        <v>56</v>
      </c>
      <c r="B39" s="54">
        <f>SUM(B6:B37)</f>
        <v>28504.890842029643</v>
      </c>
      <c r="C39" s="54">
        <f t="shared" ref="C39:F39" si="1">SUM(C6:C37)</f>
        <v>63259.806314339257</v>
      </c>
      <c r="D39" s="54">
        <f t="shared" si="1"/>
        <v>64554.967113320992</v>
      </c>
      <c r="E39" s="54">
        <f t="shared" si="1"/>
        <v>56941.858437068404</v>
      </c>
      <c r="F39" s="54">
        <f t="shared" si="1"/>
        <v>62683.190406655114</v>
      </c>
      <c r="H39" s="57" t="s">
        <v>568</v>
      </c>
      <c r="I39" s="54">
        <f>SUM(I6:I38)</f>
        <v>29273.82</v>
      </c>
      <c r="J39" s="57">
        <f t="shared" si="0"/>
        <v>9757.94</v>
      </c>
    </row>
    <row r="41" spans="1:10" ht="14">
      <c r="A41" s="63" t="s">
        <v>569</v>
      </c>
      <c r="H41" s="68" t="s">
        <v>542</v>
      </c>
    </row>
    <row r="42" spans="1:10" s="57" customFormat="1">
      <c r="A42" s="65"/>
      <c r="H42" s="69" t="s">
        <v>543</v>
      </c>
    </row>
    <row r="43" spans="1:10" s="57" customFormat="1">
      <c r="A43" s="65"/>
    </row>
    <row r="44" spans="1:10">
      <c r="A44" s="54" t="s">
        <v>29</v>
      </c>
    </row>
    <row r="45" spans="1:10">
      <c r="A45" s="54" t="s">
        <v>2</v>
      </c>
      <c r="B45" s="55" t="s">
        <v>482</v>
      </c>
      <c r="C45" s="55" t="s">
        <v>483</v>
      </c>
      <c r="D45" s="55" t="s">
        <v>27</v>
      </c>
      <c r="E45" s="55" t="s">
        <v>28</v>
      </c>
      <c r="F45" s="55" t="s">
        <v>484</v>
      </c>
    </row>
    <row r="46" spans="1:10">
      <c r="A46" s="54" t="s">
        <v>3</v>
      </c>
      <c r="B46" s="54">
        <f>Australia!I19</f>
        <v>2933.5335348200001</v>
      </c>
      <c r="C46" s="54">
        <f>Australia!J19</f>
        <v>6683.9241563999994</v>
      </c>
      <c r="D46" s="54">
        <f>Australia!K19</f>
        <v>5023.5911489999999</v>
      </c>
      <c r="E46" s="54">
        <f>Australia!L19</f>
        <v>5892.4405670399983</v>
      </c>
      <c r="F46" s="54">
        <f>Australia!M19</f>
        <v>6672.856911599999</v>
      </c>
    </row>
    <row r="47" spans="1:10">
      <c r="A47" s="54" t="s">
        <v>7</v>
      </c>
      <c r="B47" s="54">
        <f>Belgium!I19</f>
        <v>1843.2734850000002</v>
      </c>
      <c r="C47" s="54">
        <f>Belgium!J19</f>
        <v>2322.4358579999998</v>
      </c>
      <c r="D47" s="54">
        <f>Belgium!K19</f>
        <v>2576.9079839999995</v>
      </c>
      <c r="E47" s="54">
        <f>Belgium!L19</f>
        <v>2396.9855280000002</v>
      </c>
      <c r="F47" s="54">
        <f>Belgium!M19</f>
        <v>2286.425268</v>
      </c>
    </row>
    <row r="48" spans="1:10">
      <c r="A48" s="54" t="s">
        <v>11</v>
      </c>
      <c r="B48" s="54">
        <f>Canada!I19</f>
        <v>130.76574170999999</v>
      </c>
      <c r="C48" s="54">
        <f>Canada!J19</f>
        <v>221.9639</v>
      </c>
      <c r="D48" s="54">
        <f>Canada!K19</f>
        <v>172.21395446999998</v>
      </c>
      <c r="E48" s="54">
        <f>Canada!L19</f>
        <v>370.76710319999995</v>
      </c>
      <c r="F48" s="54">
        <f>Canada!M19</f>
        <v>384.91127999999992</v>
      </c>
    </row>
    <row r="49" spans="1:6">
      <c r="A49" s="54" t="s">
        <v>15</v>
      </c>
    </row>
    <row r="50" spans="1:6" s="57" customFormat="1"/>
    <row r="51" spans="1:6" s="57" customFormat="1"/>
    <row r="52" spans="1:6" s="57" customFormat="1"/>
    <row r="53" spans="1:6">
      <c r="A53" s="54" t="s">
        <v>19</v>
      </c>
      <c r="B53" s="54">
        <f>France!I19</f>
        <v>2158.5574350000002</v>
      </c>
      <c r="C53" s="54">
        <f>France!J19</f>
        <v>3200.3860679999998</v>
      </c>
      <c r="D53" s="54">
        <f>France!K19</f>
        <v>3585.9102129999997</v>
      </c>
      <c r="E53" s="54">
        <f>France!L19</f>
        <v>3632.3576520000001</v>
      </c>
      <c r="F53" s="54">
        <f>France!M19</f>
        <v>3320.5906200000004</v>
      </c>
    </row>
    <row r="54" spans="1:6">
      <c r="A54" s="54" t="s">
        <v>23</v>
      </c>
      <c r="B54" s="54">
        <f>Germany!I19</f>
        <v>1893.7482750000001</v>
      </c>
      <c r="C54" s="54">
        <f>Germany!J19</f>
        <v>6180.5797380000004</v>
      </c>
      <c r="D54" s="54">
        <f>Germany!K19</f>
        <v>6010.6556890000002</v>
      </c>
      <c r="E54" s="54">
        <f>Germany!L19</f>
        <v>6765.4177500000005</v>
      </c>
      <c r="F54" s="54">
        <f>Germany!M19</f>
        <v>6496.5375899999999</v>
      </c>
    </row>
    <row r="55" spans="1:6">
      <c r="A55" s="54" t="s">
        <v>4</v>
      </c>
      <c r="B55" s="54">
        <f>Hungary!I19</f>
        <v>72.473275709999996</v>
      </c>
      <c r="C55" s="54">
        <f>Hungary!J19</f>
        <v>401.30214640650007</v>
      </c>
      <c r="D55" s="54">
        <f>Hungary!K19</f>
        <v>556.26853623</v>
      </c>
      <c r="E55" s="54">
        <f>Hungary!L19</f>
        <v>494.89221907440009</v>
      </c>
      <c r="F55" s="54">
        <f>Hungary!M19</f>
        <v>336.06727222950002</v>
      </c>
    </row>
    <row r="56" spans="1:6">
      <c r="A56" s="54" t="s">
        <v>8</v>
      </c>
    </row>
    <row r="57" spans="1:6">
      <c r="A57" s="54" t="s">
        <v>12</v>
      </c>
      <c r="B57" s="54">
        <f>Ireland!I19</f>
        <v>0</v>
      </c>
      <c r="C57" s="54">
        <f>Ireland!J19</f>
        <v>0</v>
      </c>
      <c r="D57" s="54">
        <f>Ireland!K19</f>
        <v>0</v>
      </c>
      <c r="E57" s="54">
        <f>Ireland!L19</f>
        <v>0</v>
      </c>
      <c r="F57" s="54">
        <f>Ireland!M19</f>
        <v>0</v>
      </c>
    </row>
    <row r="58" spans="1:6">
      <c r="A58" s="54" t="s">
        <v>16</v>
      </c>
      <c r="B58" s="54">
        <f>Israel!I19</f>
        <v>0</v>
      </c>
      <c r="C58" s="54">
        <f>Israel!J19</f>
        <v>489.88412457999993</v>
      </c>
      <c r="D58" s="54">
        <f>Israel!K19</f>
        <v>394.52850000000001</v>
      </c>
      <c r="E58" s="54">
        <f>Israel!L19</f>
        <v>449.12130000000002</v>
      </c>
      <c r="F58" s="54">
        <f>Israel!M19</f>
        <v>565.25199999999995</v>
      </c>
    </row>
    <row r="59" spans="1:6">
      <c r="A59" s="54" t="s">
        <v>20</v>
      </c>
      <c r="B59" s="54">
        <f>Italy!I19</f>
        <v>0</v>
      </c>
      <c r="C59" s="54">
        <f>Italy!J19</f>
        <v>2051.6014799999998</v>
      </c>
      <c r="D59" s="54">
        <f>Italy!K19</f>
        <v>0</v>
      </c>
      <c r="E59" s="54">
        <f>Italy!L19</f>
        <v>0</v>
      </c>
      <c r="F59" s="54">
        <f>Italy!M19</f>
        <v>2051.6014799999998</v>
      </c>
    </row>
    <row r="60" spans="1:6">
      <c r="A60" s="54" t="s">
        <v>24</v>
      </c>
      <c r="B60" s="54">
        <f>Japan!I19</f>
        <v>0</v>
      </c>
      <c r="C60" s="54">
        <f>Japan!J19</f>
        <v>5.0683341840000002</v>
      </c>
      <c r="D60" s="54">
        <f>Japan!K19</f>
        <v>0</v>
      </c>
      <c r="E60" s="54">
        <f>Japan!L19</f>
        <v>7.5726954419999997</v>
      </c>
      <c r="F60" s="54">
        <f>Japan!M19</f>
        <v>1.5281743320000001</v>
      </c>
    </row>
    <row r="61" spans="1:6">
      <c r="A61" s="54" t="s">
        <v>5</v>
      </c>
      <c r="B61" s="54">
        <f>Korea!I19</f>
        <v>508.92137995949997</v>
      </c>
      <c r="C61" s="54">
        <f>Korea!J19</f>
        <v>1645.83776810113</v>
      </c>
      <c r="D61" s="54">
        <f>Korea!K19</f>
        <v>1388.6869575389999</v>
      </c>
      <c r="E61" s="54">
        <f>Korea!L19</f>
        <v>1636.2650454</v>
      </c>
      <c r="F61" s="54">
        <f>Korea!M19</f>
        <v>1687.691329707</v>
      </c>
    </row>
    <row r="62" spans="1:6" s="57" customFormat="1"/>
    <row r="63" spans="1:6">
      <c r="A63" s="54" t="s">
        <v>9</v>
      </c>
    </row>
    <row r="64" spans="1:6" s="57" customFormat="1"/>
    <row r="65" spans="1:6">
      <c r="A65" s="54" t="s">
        <v>13</v>
      </c>
      <c r="B65" s="54">
        <f>Mexico!I19</f>
        <v>0</v>
      </c>
      <c r="C65" s="54">
        <f>Mexico!J19</f>
        <v>5780.7389193219988</v>
      </c>
      <c r="D65" s="54">
        <f>Mexico!K19</f>
        <v>14212.083734721002</v>
      </c>
      <c r="E65" s="54">
        <f>Mexico!L19</f>
        <v>711.82364849999999</v>
      </c>
      <c r="F65" s="54">
        <f>Mexico!M19</f>
        <v>713.38057430000003</v>
      </c>
    </row>
    <row r="66" spans="1:6">
      <c r="A66" s="54" t="s">
        <v>17</v>
      </c>
      <c r="B66" s="54">
        <f>Netherlands!I19</f>
        <v>58.432905000000005</v>
      </c>
      <c r="C66" s="54">
        <f>Netherlands!J19</f>
        <v>449.13690600000001</v>
      </c>
      <c r="D66" s="54">
        <f>Netherlands!K19</f>
        <v>475.18074099999995</v>
      </c>
      <c r="E66" s="54">
        <f>Netherlands!L19</f>
        <v>452.33399400000002</v>
      </c>
      <c r="F66" s="54">
        <f>Netherlands!M19</f>
        <v>471.66523800000004</v>
      </c>
    </row>
    <row r="67" spans="1:6">
      <c r="A67" s="54" t="s">
        <v>21</v>
      </c>
      <c r="B67" s="54">
        <f>'New Zealand'!I19</f>
        <v>12.945569000000001</v>
      </c>
      <c r="C67" s="54">
        <f>'New Zealand'!J19</f>
        <v>28.324388520000003</v>
      </c>
      <c r="D67" s="54">
        <f>'New Zealand'!K19</f>
        <v>20.166419999999999</v>
      </c>
      <c r="E67" s="54">
        <f>'New Zealand'!L19</f>
        <v>26.479653199999998</v>
      </c>
      <c r="F67" s="54">
        <f>'New Zealand'!M19</f>
        <v>29.761583220000002</v>
      </c>
    </row>
    <row r="68" spans="1:6">
      <c r="A68" s="54" t="s">
        <v>25</v>
      </c>
      <c r="B68" s="54">
        <f>Norway!I19</f>
        <v>562.76123903999996</v>
      </c>
      <c r="C68" s="54">
        <f>Norway!J19</f>
        <v>740.05227307999985</v>
      </c>
      <c r="D68" s="54">
        <f>Norway!K19</f>
        <v>591.34762499999999</v>
      </c>
      <c r="E68" s="54">
        <f>Norway!L19</f>
        <v>737.65376433999995</v>
      </c>
      <c r="F68" s="54">
        <f>Norway!M19</f>
        <v>785.44546691999994</v>
      </c>
    </row>
    <row r="69" spans="1:6">
      <c r="A69" s="54" t="s">
        <v>6</v>
      </c>
      <c r="B69" s="54">
        <f>Poland!I19</f>
        <v>247.275339417</v>
      </c>
      <c r="C69" s="54">
        <f>Poland!J19</f>
        <v>290.18477535</v>
      </c>
      <c r="D69" s="54">
        <f>Poland!K19</f>
        <v>255.12336447000004</v>
      </c>
      <c r="E69" s="54">
        <f>Poland!L19</f>
        <v>305.75358833999996</v>
      </c>
      <c r="F69" s="54">
        <f>Poland!M19</f>
        <v>323.53399385999995</v>
      </c>
    </row>
    <row r="70" spans="1:6" s="57" customFormat="1"/>
    <row r="71" spans="1:6" s="57" customFormat="1"/>
    <row r="72" spans="1:6">
      <c r="A72" s="54" t="s">
        <v>10</v>
      </c>
      <c r="B72" s="54">
        <f>Spain!I19</f>
        <v>1484.0364149999998</v>
      </c>
      <c r="C72" s="54">
        <f>Spain!J19</f>
        <v>2112.8261639999996</v>
      </c>
      <c r="D72" s="54">
        <f>Spain!K19</f>
        <v>1806.7001189999999</v>
      </c>
      <c r="E72" s="54">
        <f>Spain!L19</f>
        <v>2125.706142</v>
      </c>
      <c r="F72" s="54">
        <f>Spain!M19</f>
        <v>2632.4208960000001</v>
      </c>
    </row>
    <row r="73" spans="1:6">
      <c r="A73" s="54" t="s">
        <v>14</v>
      </c>
      <c r="B73" s="54">
        <f>Sweden!I19</f>
        <v>0</v>
      </c>
      <c r="C73" s="54">
        <f>Sweden!J19</f>
        <v>3598.2736165400001</v>
      </c>
      <c r="D73" s="54">
        <f>Sweden!K19</f>
        <v>3308.3691200000003</v>
      </c>
      <c r="E73" s="54">
        <f>Sweden!L19</f>
        <v>3371.0508100000002</v>
      </c>
      <c r="F73" s="54">
        <f>Sweden!M19</f>
        <v>3335.4704399999996</v>
      </c>
    </row>
    <row r="74" spans="1:6" s="57" customFormat="1"/>
    <row r="75" spans="1:6">
      <c r="A75" s="54" t="s">
        <v>18</v>
      </c>
      <c r="B75" s="54">
        <f>Turkey!I19</f>
        <v>0</v>
      </c>
      <c r="C75" s="54">
        <f>Turkey!J19</f>
        <v>475.44459934999998</v>
      </c>
      <c r="D75" s="54">
        <f>Turkey!K19</f>
        <v>306.34507200000002</v>
      </c>
      <c r="E75" s="54">
        <f>Turkey!L19</f>
        <v>481.37976000000003</v>
      </c>
      <c r="F75" s="54">
        <f>Turkey!M19</f>
        <v>493.31098000000003</v>
      </c>
    </row>
    <row r="76" spans="1:6">
      <c r="A76" s="54" t="s">
        <v>22</v>
      </c>
      <c r="B76" s="54">
        <f>U.K.!I19</f>
        <v>2125.5378900000001</v>
      </c>
      <c r="C76" s="54">
        <f>U.K.!J19</f>
        <v>4426.3812468999995</v>
      </c>
      <c r="D76" s="54">
        <f>U.K.!K19</f>
        <v>4332.9546479999999</v>
      </c>
      <c r="E76" s="54">
        <f>U.K.!L19</f>
        <v>3894.9696591999996</v>
      </c>
      <c r="F76" s="54">
        <f>U.K.!M19</f>
        <v>4950.5545011000004</v>
      </c>
    </row>
    <row r="77" spans="1:6">
      <c r="A77" s="54" t="s">
        <v>26</v>
      </c>
      <c r="B77" s="54">
        <f>U.S.!C19</f>
        <v>1446.6799999999998</v>
      </c>
      <c r="C77" s="54">
        <f>U.S.!D19</f>
        <v>3992.1099999999997</v>
      </c>
      <c r="D77" s="54">
        <f>U.S.!E19</f>
        <v>2492.98</v>
      </c>
      <c r="E77" s="54">
        <f>U.S.!F19</f>
        <v>4649.46</v>
      </c>
      <c r="F77" s="54">
        <f>U.S.!G19</f>
        <v>4842.2</v>
      </c>
    </row>
    <row r="78" spans="1:6" s="57" customFormat="1"/>
    <row r="79" spans="1:6">
      <c r="A79" s="54" t="s">
        <v>56</v>
      </c>
      <c r="B79" s="54">
        <f>SUM(B46:B77)</f>
        <v>15478.9424846565</v>
      </c>
      <c r="C79" s="54">
        <f t="shared" ref="C79:F79" si="2">SUM(C46:C77)</f>
        <v>45096.456462733622</v>
      </c>
      <c r="D79" s="54">
        <f t="shared" si="2"/>
        <v>47510.013827430004</v>
      </c>
      <c r="E79" s="54">
        <f t="shared" si="2"/>
        <v>38402.430879736399</v>
      </c>
      <c r="F79" s="54">
        <f t="shared" si="2"/>
        <v>42381.205599268498</v>
      </c>
    </row>
    <row r="81" spans="1:9">
      <c r="A81" s="57" t="s">
        <v>36</v>
      </c>
    </row>
    <row r="82" spans="1:9">
      <c r="A82" s="54" t="s">
        <v>2</v>
      </c>
      <c r="B82" s="55" t="s">
        <v>482</v>
      </c>
      <c r="C82" s="55" t="s">
        <v>483</v>
      </c>
      <c r="D82" s="55" t="s">
        <v>27</v>
      </c>
      <c r="E82" s="55" t="s">
        <v>28</v>
      </c>
      <c r="F82" s="55" t="s">
        <v>484</v>
      </c>
    </row>
    <row r="83" spans="1:9">
      <c r="A83" s="54" t="s">
        <v>3</v>
      </c>
      <c r="B83" s="54">
        <f>B6-B46</f>
        <v>265.07202875999974</v>
      </c>
      <c r="C83" s="57">
        <f t="shared" ref="C83:F83" si="3">C6-C46</f>
        <v>685.93521930000043</v>
      </c>
      <c r="D83" s="57">
        <f t="shared" si="3"/>
        <v>556.97804600000018</v>
      </c>
      <c r="E83" s="57">
        <f t="shared" si="3"/>
        <v>617.33260943999994</v>
      </c>
      <c r="F83" s="57">
        <f t="shared" si="3"/>
        <v>683.45322690000012</v>
      </c>
      <c r="H83" s="57" t="s">
        <v>38</v>
      </c>
      <c r="I83" s="54">
        <f>F83+F85+F90+F91+F96+F97+F109+F113+F114</f>
        <v>18617.179234863997</v>
      </c>
    </row>
    <row r="84" spans="1:9">
      <c r="A84" s="54" t="s">
        <v>7</v>
      </c>
      <c r="B84" s="57">
        <f t="shared" ref="B84:F84" si="4">B7-B47</f>
        <v>0</v>
      </c>
      <c r="C84" s="57">
        <f t="shared" si="4"/>
        <v>0</v>
      </c>
      <c r="D84" s="57">
        <f t="shared" si="4"/>
        <v>0</v>
      </c>
      <c r="E84" s="57">
        <f t="shared" si="4"/>
        <v>0</v>
      </c>
      <c r="F84" s="57">
        <f t="shared" si="4"/>
        <v>0</v>
      </c>
      <c r="H84" s="57" t="s">
        <v>39</v>
      </c>
      <c r="I84" s="54">
        <f>F83+F84+F85+F90+F91+F93+F94+F96+F97+F103+F104+F105+F110+F109+F113+F114</f>
        <v>18795.870053904</v>
      </c>
    </row>
    <row r="85" spans="1:9">
      <c r="A85" s="54" t="s">
        <v>11</v>
      </c>
      <c r="B85" s="57">
        <f t="shared" ref="B85:F85" si="5">B8-B48</f>
        <v>445.32883782000005</v>
      </c>
      <c r="C85" s="57">
        <f t="shared" si="5"/>
        <v>977.93502999999987</v>
      </c>
      <c r="D85" s="57">
        <f t="shared" si="5"/>
        <v>983.47983353999996</v>
      </c>
      <c r="E85" s="57">
        <f t="shared" si="5"/>
        <v>1872.4333881600005</v>
      </c>
      <c r="F85" s="57">
        <f t="shared" si="5"/>
        <v>1640.9079999999994</v>
      </c>
    </row>
    <row r="86" spans="1:9">
      <c r="A86" s="54" t="s">
        <v>15</v>
      </c>
      <c r="B86" s="57">
        <f t="shared" ref="B86:F86" si="6">B9-B49</f>
        <v>0</v>
      </c>
      <c r="C86" s="57">
        <f t="shared" si="6"/>
        <v>0</v>
      </c>
      <c r="D86" s="57">
        <f t="shared" si="6"/>
        <v>0</v>
      </c>
      <c r="E86" s="57">
        <f t="shared" si="6"/>
        <v>0</v>
      </c>
      <c r="F86" s="57">
        <f t="shared" si="6"/>
        <v>0</v>
      </c>
    </row>
    <row r="87" spans="1:9" s="57" customFormat="1">
      <c r="B87" s="57">
        <f t="shared" ref="B87:F87" si="7">B10-B50</f>
        <v>0</v>
      </c>
      <c r="C87" s="57">
        <f t="shared" si="7"/>
        <v>0</v>
      </c>
      <c r="D87" s="57">
        <f t="shared" si="7"/>
        <v>0</v>
      </c>
      <c r="E87" s="57">
        <f t="shared" si="7"/>
        <v>0</v>
      </c>
      <c r="F87" s="57">
        <f t="shared" si="7"/>
        <v>0</v>
      </c>
    </row>
    <row r="88" spans="1:9" s="57" customFormat="1">
      <c r="B88" s="57">
        <f t="shared" ref="B88:F88" si="8">B11-B51</f>
        <v>0</v>
      </c>
      <c r="C88" s="57">
        <f t="shared" si="8"/>
        <v>0</v>
      </c>
      <c r="D88" s="57">
        <f t="shared" si="8"/>
        <v>0</v>
      </c>
      <c r="E88" s="57">
        <f t="shared" si="8"/>
        <v>0</v>
      </c>
      <c r="F88" s="57">
        <f t="shared" si="8"/>
        <v>0</v>
      </c>
    </row>
    <row r="89" spans="1:9" s="57" customFormat="1">
      <c r="B89" s="57">
        <f t="shared" ref="B89:F89" si="9">B12-B52</f>
        <v>0</v>
      </c>
      <c r="C89" s="57">
        <f t="shared" si="9"/>
        <v>0</v>
      </c>
      <c r="D89" s="57">
        <f t="shared" si="9"/>
        <v>0</v>
      </c>
      <c r="E89" s="57">
        <f t="shared" si="9"/>
        <v>0</v>
      </c>
      <c r="F89" s="57">
        <f t="shared" si="9"/>
        <v>0</v>
      </c>
    </row>
    <row r="90" spans="1:9">
      <c r="A90" s="54" t="s">
        <v>19</v>
      </c>
      <c r="B90" s="57">
        <f t="shared" ref="B90:F90" si="10">B13-B53</f>
        <v>919.19898000000012</v>
      </c>
      <c r="C90" s="57">
        <f t="shared" si="10"/>
        <v>147.42294600000014</v>
      </c>
      <c r="D90" s="57">
        <f t="shared" si="10"/>
        <v>147.54140000000007</v>
      </c>
      <c r="E90" s="57">
        <f t="shared" si="10"/>
        <v>169.99080000000004</v>
      </c>
      <c r="F90" s="57">
        <f t="shared" si="10"/>
        <v>142.97340000000031</v>
      </c>
    </row>
    <row r="91" spans="1:9">
      <c r="A91" s="54" t="s">
        <v>23</v>
      </c>
      <c r="B91" s="57">
        <f t="shared" ref="B91:F91" si="11">B14-B54</f>
        <v>5060.7739799999999</v>
      </c>
      <c r="C91" s="57">
        <f t="shared" si="11"/>
        <v>4198.5541920000014</v>
      </c>
      <c r="D91" s="57">
        <f t="shared" si="11"/>
        <v>4987.2612139999992</v>
      </c>
      <c r="E91" s="57">
        <f t="shared" si="11"/>
        <v>4236.8190059999997</v>
      </c>
      <c r="F91" s="57">
        <f t="shared" si="11"/>
        <v>3879.5364420000005</v>
      </c>
    </row>
    <row r="92" spans="1:9">
      <c r="A92" s="54" t="s">
        <v>4</v>
      </c>
      <c r="B92" s="57">
        <f t="shared" ref="B92:F92" si="12">B15-B55</f>
        <v>0</v>
      </c>
      <c r="C92" s="57">
        <f t="shared" si="12"/>
        <v>44.548126024499993</v>
      </c>
      <c r="D92" s="57">
        <f t="shared" si="12"/>
        <v>52.182299999999941</v>
      </c>
      <c r="E92" s="57">
        <f t="shared" si="12"/>
        <v>47.412792000000024</v>
      </c>
      <c r="F92" s="57">
        <f t="shared" si="12"/>
        <v>42.785415</v>
      </c>
    </row>
    <row r="93" spans="1:9">
      <c r="A93" s="54" t="s">
        <v>8</v>
      </c>
      <c r="B93" s="57">
        <f t="shared" ref="B93:F93" si="13">B16-B56</f>
        <v>0</v>
      </c>
      <c r="C93" s="57">
        <f t="shared" si="13"/>
        <v>0</v>
      </c>
      <c r="D93" s="57">
        <f t="shared" si="13"/>
        <v>0</v>
      </c>
      <c r="E93" s="57">
        <f t="shared" si="13"/>
        <v>0</v>
      </c>
      <c r="F93" s="57">
        <f t="shared" si="13"/>
        <v>0</v>
      </c>
    </row>
    <row r="94" spans="1:9">
      <c r="A94" s="54" t="s">
        <v>12</v>
      </c>
      <c r="B94" s="57">
        <f t="shared" ref="B94:F94" si="14">B17-B57</f>
        <v>0</v>
      </c>
      <c r="C94" s="57">
        <f t="shared" si="14"/>
        <v>62.427264000000001</v>
      </c>
      <c r="D94" s="57">
        <f t="shared" si="14"/>
        <v>64.918216000000001</v>
      </c>
      <c r="E94" s="57">
        <f t="shared" si="14"/>
        <v>0</v>
      </c>
      <c r="F94" s="57">
        <f t="shared" si="14"/>
        <v>0</v>
      </c>
    </row>
    <row r="95" spans="1:9">
      <c r="A95" s="54" t="s">
        <v>16</v>
      </c>
      <c r="B95" s="57">
        <f t="shared" ref="B95:F95" si="15">B18-B58</f>
        <v>0</v>
      </c>
      <c r="C95" s="57">
        <f t="shared" si="15"/>
        <v>41.546021999999994</v>
      </c>
      <c r="D95" s="57">
        <f t="shared" si="15"/>
        <v>39.18983099999997</v>
      </c>
      <c r="E95" s="57">
        <f t="shared" si="15"/>
        <v>38.571594000000005</v>
      </c>
      <c r="F95" s="57">
        <f t="shared" si="15"/>
        <v>41.263396000000057</v>
      </c>
    </row>
    <row r="96" spans="1:9">
      <c r="A96" s="54" t="s">
        <v>20</v>
      </c>
      <c r="B96" s="57">
        <f t="shared" ref="B96:F96" si="16">B19-B59</f>
        <v>0</v>
      </c>
      <c r="C96" s="57">
        <f t="shared" si="16"/>
        <v>0</v>
      </c>
      <c r="D96" s="57">
        <f t="shared" si="16"/>
        <v>0</v>
      </c>
      <c r="E96" s="57">
        <f t="shared" si="16"/>
        <v>0</v>
      </c>
      <c r="F96" s="57">
        <f t="shared" si="16"/>
        <v>0</v>
      </c>
    </row>
    <row r="97" spans="1:6">
      <c r="A97" s="54" t="s">
        <v>24</v>
      </c>
      <c r="B97" s="57">
        <f t="shared" ref="B97:F97" si="17">B20-B60</f>
        <v>0</v>
      </c>
      <c r="C97" s="57">
        <f t="shared" si="17"/>
        <v>461.16429866400006</v>
      </c>
      <c r="D97" s="57">
        <f t="shared" si="17"/>
        <v>0</v>
      </c>
      <c r="E97" s="57">
        <f t="shared" si="17"/>
        <v>446.67835680000002</v>
      </c>
      <c r="F97" s="57">
        <f t="shared" si="17"/>
        <v>414.560269764</v>
      </c>
    </row>
    <row r="98" spans="1:6">
      <c r="A98" s="54" t="s">
        <v>5</v>
      </c>
      <c r="B98" s="57">
        <f t="shared" ref="B98:F98" si="18">B21-B61</f>
        <v>291.00731831313999</v>
      </c>
      <c r="C98" s="57">
        <f t="shared" si="18"/>
        <v>335.28395157713021</v>
      </c>
      <c r="D98" s="57">
        <f t="shared" si="18"/>
        <v>328.67431529100008</v>
      </c>
      <c r="E98" s="57">
        <f t="shared" si="18"/>
        <v>308.37163044199974</v>
      </c>
      <c r="F98" s="57">
        <f t="shared" si="18"/>
        <v>318.06346318260989</v>
      </c>
    </row>
    <row r="99" spans="1:6" s="57" customFormat="1">
      <c r="B99" s="57">
        <f t="shared" ref="B99:F99" si="19">B22-B62</f>
        <v>0</v>
      </c>
      <c r="C99" s="57">
        <f t="shared" si="19"/>
        <v>0</v>
      </c>
      <c r="D99" s="57">
        <f t="shared" si="19"/>
        <v>0</v>
      </c>
      <c r="E99" s="57">
        <f t="shared" si="19"/>
        <v>0</v>
      </c>
      <c r="F99" s="57">
        <f t="shared" si="19"/>
        <v>0</v>
      </c>
    </row>
    <row r="100" spans="1:6">
      <c r="A100" s="54" t="s">
        <v>9</v>
      </c>
      <c r="B100" s="57">
        <f t="shared" ref="B100:F100" si="20">B23-B63</f>
        <v>0</v>
      </c>
      <c r="C100" s="57">
        <f t="shared" si="20"/>
        <v>0</v>
      </c>
      <c r="D100" s="57">
        <f t="shared" si="20"/>
        <v>0</v>
      </c>
      <c r="E100" s="57">
        <f t="shared" si="20"/>
        <v>0</v>
      </c>
      <c r="F100" s="57">
        <f t="shared" si="20"/>
        <v>0</v>
      </c>
    </row>
    <row r="101" spans="1:6" s="57" customFormat="1">
      <c r="B101" s="57">
        <f t="shared" ref="B101:F101" si="21">B24-B64</f>
        <v>0</v>
      </c>
      <c r="C101" s="57">
        <f t="shared" si="21"/>
        <v>0</v>
      </c>
      <c r="D101" s="57">
        <f t="shared" si="21"/>
        <v>0</v>
      </c>
      <c r="E101" s="57">
        <f t="shared" si="21"/>
        <v>0</v>
      </c>
      <c r="F101" s="57">
        <f t="shared" si="21"/>
        <v>0</v>
      </c>
    </row>
    <row r="102" spans="1:6">
      <c r="A102" s="54" t="s">
        <v>13</v>
      </c>
      <c r="B102" s="57">
        <f t="shared" ref="B102:F102" si="22">B25-B65</f>
        <v>0</v>
      </c>
      <c r="C102" s="57">
        <f t="shared" si="22"/>
        <v>0</v>
      </c>
      <c r="D102" s="57">
        <f t="shared" si="22"/>
        <v>0</v>
      </c>
      <c r="E102" s="57">
        <f t="shared" si="22"/>
        <v>0</v>
      </c>
      <c r="F102" s="57">
        <f t="shared" si="22"/>
        <v>0</v>
      </c>
    </row>
    <row r="103" spans="1:6">
      <c r="A103" s="54" t="s">
        <v>17</v>
      </c>
      <c r="B103" s="57">
        <f t="shared" ref="B103:F103" si="23">B26-B66</f>
        <v>0</v>
      </c>
      <c r="C103" s="57">
        <f t="shared" si="23"/>
        <v>0</v>
      </c>
      <c r="D103" s="57">
        <f t="shared" si="23"/>
        <v>0</v>
      </c>
      <c r="E103" s="57">
        <f t="shared" si="23"/>
        <v>0</v>
      </c>
      <c r="F103" s="57">
        <f t="shared" si="23"/>
        <v>0</v>
      </c>
    </row>
    <row r="104" spans="1:6">
      <c r="A104" s="54" t="s">
        <v>21</v>
      </c>
      <c r="B104" s="57">
        <f t="shared" ref="B104:F104" si="24">B27-B67</f>
        <v>0</v>
      </c>
      <c r="C104" s="57">
        <f t="shared" si="24"/>
        <v>13.509630179999998</v>
      </c>
      <c r="D104" s="57">
        <f t="shared" si="24"/>
        <v>9.6587150000000008</v>
      </c>
      <c r="E104" s="57">
        <f t="shared" si="24"/>
        <v>15.516785789999997</v>
      </c>
      <c r="F104" s="57">
        <f t="shared" si="24"/>
        <v>11.062514880000005</v>
      </c>
    </row>
    <row r="105" spans="1:6">
      <c r="A105" s="54" t="s">
        <v>25</v>
      </c>
      <c r="B105" s="57">
        <f t="shared" ref="B105:F105" si="25">B28-B68</f>
        <v>0</v>
      </c>
      <c r="C105" s="57">
        <f t="shared" si="25"/>
        <v>192.06196419999992</v>
      </c>
      <c r="D105" s="57">
        <f t="shared" si="25"/>
        <v>177.66663081000002</v>
      </c>
      <c r="E105" s="57">
        <f t="shared" si="25"/>
        <v>198.83720960000005</v>
      </c>
      <c r="F105" s="57">
        <f t="shared" si="25"/>
        <v>167.62830415999997</v>
      </c>
    </row>
    <row r="106" spans="1:6">
      <c r="A106" s="54" t="s">
        <v>6</v>
      </c>
      <c r="B106" s="57">
        <f t="shared" ref="B106:F106" si="26">B29-B69</f>
        <v>198.39969747999999</v>
      </c>
      <c r="C106" s="57">
        <f t="shared" si="26"/>
        <v>475.52038505999997</v>
      </c>
      <c r="D106" s="57">
        <f t="shared" si="26"/>
        <v>0.58636724999999501</v>
      </c>
      <c r="E106" s="57">
        <f t="shared" si="26"/>
        <v>746.85246990000007</v>
      </c>
      <c r="F106" s="57">
        <f t="shared" si="26"/>
        <v>847.01586930000008</v>
      </c>
    </row>
    <row r="107" spans="1:6" s="57" customFormat="1">
      <c r="B107" s="57">
        <f t="shared" ref="B107:F107" si="27">B30-B70</f>
        <v>0</v>
      </c>
      <c r="C107" s="57">
        <f t="shared" si="27"/>
        <v>0</v>
      </c>
      <c r="D107" s="57">
        <f t="shared" si="27"/>
        <v>0</v>
      </c>
      <c r="E107" s="57">
        <f t="shared" si="27"/>
        <v>0</v>
      </c>
      <c r="F107" s="57">
        <f t="shared" si="27"/>
        <v>0</v>
      </c>
    </row>
    <row r="108" spans="1:6" s="57" customFormat="1">
      <c r="B108" s="57">
        <f t="shared" ref="B108:F108" si="28">B31-B71</f>
        <v>0</v>
      </c>
      <c r="C108" s="57">
        <f t="shared" si="28"/>
        <v>0</v>
      </c>
      <c r="D108" s="57">
        <f t="shared" si="28"/>
        <v>0</v>
      </c>
      <c r="E108" s="57">
        <f t="shared" si="28"/>
        <v>0</v>
      </c>
      <c r="F108" s="57">
        <f t="shared" si="28"/>
        <v>0</v>
      </c>
    </row>
    <row r="109" spans="1:6">
      <c r="A109" s="54" t="s">
        <v>10</v>
      </c>
      <c r="B109" s="57">
        <f t="shared" ref="B109:F109" si="29">B32-B72</f>
        <v>678.81987000000004</v>
      </c>
      <c r="C109" s="57">
        <f t="shared" si="29"/>
        <v>937.67835000000014</v>
      </c>
      <c r="D109" s="57">
        <f t="shared" si="29"/>
        <v>982.2638300000001</v>
      </c>
      <c r="E109" s="57">
        <f t="shared" si="29"/>
        <v>1029.9569700000002</v>
      </c>
      <c r="F109" s="57">
        <f t="shared" si="29"/>
        <v>914.76251999999977</v>
      </c>
    </row>
    <row r="110" spans="1:6">
      <c r="A110" s="54" t="s">
        <v>14</v>
      </c>
      <c r="B110" s="57">
        <f t="shared" ref="B110:F110" si="30">B33-B73</f>
        <v>0</v>
      </c>
      <c r="C110" s="57">
        <f t="shared" si="30"/>
        <v>0</v>
      </c>
      <c r="D110" s="57">
        <f t="shared" si="30"/>
        <v>0</v>
      </c>
      <c r="E110" s="57">
        <f t="shared" si="30"/>
        <v>0</v>
      </c>
      <c r="F110" s="57">
        <f t="shared" si="30"/>
        <v>0</v>
      </c>
    </row>
    <row r="111" spans="1:6" s="57" customFormat="1">
      <c r="B111" s="57">
        <f t="shared" ref="B111:F111" si="31">B34-B74</f>
        <v>0</v>
      </c>
      <c r="C111" s="57">
        <f t="shared" si="31"/>
        <v>0</v>
      </c>
      <c r="D111" s="57">
        <f t="shared" si="31"/>
        <v>0</v>
      </c>
      <c r="E111" s="57">
        <f t="shared" si="31"/>
        <v>0</v>
      </c>
      <c r="F111" s="57">
        <f t="shared" si="31"/>
        <v>0</v>
      </c>
    </row>
    <row r="112" spans="1:6">
      <c r="A112" s="54" t="s">
        <v>18</v>
      </c>
      <c r="B112" s="57">
        <f t="shared" ref="B112:F112" si="32">B35-B75</f>
        <v>179.35679999999999</v>
      </c>
      <c r="C112" s="57">
        <f t="shared" si="32"/>
        <v>256.98661000000004</v>
      </c>
      <c r="D112" s="57">
        <f t="shared" si="32"/>
        <v>257.77027200000003</v>
      </c>
      <c r="E112" s="57">
        <f t="shared" si="32"/>
        <v>266.09603400000003</v>
      </c>
      <c r="F112" s="57">
        <f t="shared" si="32"/>
        <v>256.98660999999998</v>
      </c>
    </row>
    <row r="113" spans="1:6">
      <c r="A113" s="54" t="s">
        <v>22</v>
      </c>
      <c r="B113" s="57">
        <f t="shared" ref="B113:F113" si="33">B36-B76</f>
        <v>2093.1708450000001</v>
      </c>
      <c r="C113" s="57">
        <f t="shared" si="33"/>
        <v>842.90586260000055</v>
      </c>
      <c r="D113" s="57">
        <f t="shared" si="33"/>
        <v>1116.6723149999998</v>
      </c>
      <c r="E113" s="57">
        <f t="shared" si="33"/>
        <v>678.4679112000008</v>
      </c>
      <c r="F113" s="57">
        <f t="shared" si="33"/>
        <v>695.86537620000036</v>
      </c>
    </row>
    <row r="114" spans="1:6">
      <c r="A114" s="54" t="s">
        <v>26</v>
      </c>
      <c r="B114" s="57">
        <f t="shared" ref="B114:F114" si="34">B37-B77</f>
        <v>2894.82</v>
      </c>
      <c r="C114" s="57">
        <f t="shared" si="34"/>
        <v>8489.869999999999</v>
      </c>
      <c r="D114" s="57">
        <f t="shared" si="34"/>
        <v>7340.1100000000006</v>
      </c>
      <c r="E114" s="57">
        <f t="shared" si="34"/>
        <v>7866.0900000000011</v>
      </c>
      <c r="F114" s="57">
        <f t="shared" si="34"/>
        <v>10245.119999999999</v>
      </c>
    </row>
    <row r="115" spans="1:6">
      <c r="B115" s="57">
        <f t="shared" ref="B115:F115" si="35">B38-B78</f>
        <v>0</v>
      </c>
      <c r="C115" s="57">
        <f t="shared" si="35"/>
        <v>0</v>
      </c>
      <c r="D115" s="57">
        <f t="shared" si="35"/>
        <v>0</v>
      </c>
      <c r="E115" s="57">
        <f t="shared" si="35"/>
        <v>0</v>
      </c>
      <c r="F115" s="57">
        <f t="shared" si="35"/>
        <v>0</v>
      </c>
    </row>
    <row r="116" spans="1:6">
      <c r="A116" s="57" t="s">
        <v>37</v>
      </c>
      <c r="B116" s="57">
        <f t="shared" ref="B116:F116" si="36">B39-B79</f>
        <v>13025.948357373143</v>
      </c>
      <c r="C116" s="57">
        <f t="shared" si="36"/>
        <v>18163.349851605635</v>
      </c>
      <c r="D116" s="57">
        <f t="shared" si="36"/>
        <v>17044.953285890988</v>
      </c>
      <c r="E116" s="57">
        <f t="shared" si="36"/>
        <v>18539.427557332005</v>
      </c>
      <c r="F116" s="57">
        <f t="shared" si="36"/>
        <v>20301.984807386616</v>
      </c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D1" workbookViewId="0">
      <selection activeCell="N17" sqref="N17"/>
    </sheetView>
  </sheetViews>
  <sheetFormatPr baseColWidth="10" defaultRowHeight="13" x14ac:dyDescent="0"/>
  <cols>
    <col min="1" max="1" width="35" style="16" customWidth="1"/>
    <col min="2" max="16384" width="10.7109375" style="16"/>
  </cols>
  <sheetData>
    <row r="1" spans="1:13">
      <c r="A1" s="30" t="s">
        <v>450</v>
      </c>
      <c r="I1" s="74" t="s">
        <v>461</v>
      </c>
      <c r="J1" s="74"/>
      <c r="K1"/>
      <c r="L1"/>
      <c r="M1"/>
    </row>
    <row r="2" spans="1:13">
      <c r="C2" s="31" t="s">
        <v>482</v>
      </c>
      <c r="D2" s="31" t="s">
        <v>483</v>
      </c>
      <c r="E2" s="31">
        <v>2008</v>
      </c>
      <c r="F2" s="31">
        <v>2009</v>
      </c>
      <c r="G2" s="31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s="16" t="s">
        <v>531</v>
      </c>
      <c r="C3" s="16">
        <f>C29</f>
        <v>0</v>
      </c>
      <c r="D3" s="16">
        <f t="shared" ref="D3:G3" si="0">D29</f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I3" s="53">
        <f>C3*0.144144</f>
        <v>0</v>
      </c>
      <c r="J3" s="53">
        <f>D3*0.171308</f>
        <v>0</v>
      </c>
      <c r="K3" s="53">
        <f>E3*0.143357</f>
        <v>0</v>
      </c>
      <c r="L3" s="53">
        <f>F3*0.173566</f>
        <v>0</v>
      </c>
      <c r="M3" s="53">
        <f>G3*0.171308</f>
        <v>0</v>
      </c>
    </row>
    <row r="4" spans="1:13">
      <c r="A4" s="16" t="s">
        <v>436</v>
      </c>
      <c r="C4" s="16">
        <f>C32</f>
        <v>0</v>
      </c>
      <c r="D4" s="16">
        <f t="shared" ref="D4:G4" si="1">D32</f>
        <v>7.45</v>
      </c>
      <c r="E4" s="16">
        <f t="shared" si="1"/>
        <v>8.59</v>
      </c>
      <c r="F4" s="16">
        <f t="shared" si="1"/>
        <v>6.87</v>
      </c>
      <c r="G4" s="16">
        <f t="shared" si="1"/>
        <v>6.87</v>
      </c>
      <c r="I4" s="53">
        <f t="shared" ref="I4:I21" si="2">C4*0.144144</f>
        <v>0</v>
      </c>
      <c r="J4" s="53">
        <f t="shared" ref="J4:J21" si="3">D4*0.171308</f>
        <v>1.2762445999999998</v>
      </c>
      <c r="K4" s="53">
        <f t="shared" ref="K4:K21" si="4">E4*0.143357</f>
        <v>1.2314366300000001</v>
      </c>
      <c r="L4" s="53">
        <f t="shared" ref="L4:L21" si="5">F4*0.173566</f>
        <v>1.19239842</v>
      </c>
      <c r="M4" s="53">
        <f t="shared" ref="M4:M21" si="6">G4*0.171308</f>
        <v>1.1768859599999999</v>
      </c>
    </row>
    <row r="5" spans="1:13">
      <c r="A5" s="16" t="s">
        <v>437</v>
      </c>
      <c r="I5" s="53">
        <f t="shared" si="2"/>
        <v>0</v>
      </c>
      <c r="J5" s="53">
        <f t="shared" si="3"/>
        <v>0</v>
      </c>
      <c r="K5" s="53">
        <f t="shared" si="4"/>
        <v>0</v>
      </c>
      <c r="L5" s="53">
        <f t="shared" si="5"/>
        <v>0</v>
      </c>
      <c r="M5" s="53">
        <f t="shared" si="6"/>
        <v>0</v>
      </c>
    </row>
    <row r="6" spans="1:13">
      <c r="A6" s="16" t="s">
        <v>438</v>
      </c>
      <c r="C6" s="16">
        <f>SUM(C3:C5)</f>
        <v>0</v>
      </c>
      <c r="D6" s="16">
        <f t="shared" ref="D6:G6" si="7">SUM(D3:D5)</f>
        <v>7.45</v>
      </c>
      <c r="E6" s="16">
        <f t="shared" si="7"/>
        <v>8.59</v>
      </c>
      <c r="F6" s="16">
        <f t="shared" si="7"/>
        <v>6.87</v>
      </c>
      <c r="G6" s="16">
        <f t="shared" si="7"/>
        <v>6.87</v>
      </c>
      <c r="I6" s="53">
        <f t="shared" si="2"/>
        <v>0</v>
      </c>
      <c r="J6" s="53">
        <f t="shared" si="3"/>
        <v>1.2762445999999998</v>
      </c>
      <c r="K6" s="53">
        <f t="shared" si="4"/>
        <v>1.2314366300000001</v>
      </c>
      <c r="L6" s="53">
        <f t="shared" si="5"/>
        <v>1.19239842</v>
      </c>
      <c r="M6" s="53">
        <f t="shared" si="6"/>
        <v>1.1768859599999999</v>
      </c>
    </row>
    <row r="7" spans="1:13">
      <c r="I7" s="53"/>
      <c r="J7" s="53"/>
      <c r="K7" s="53"/>
      <c r="L7" s="53"/>
      <c r="M7" s="53"/>
    </row>
    <row r="8" spans="1:13">
      <c r="A8" s="16" t="s">
        <v>439</v>
      </c>
      <c r="C8" s="16">
        <f>C40</f>
        <v>0</v>
      </c>
      <c r="D8" s="16">
        <f t="shared" ref="D8:G8" si="8">D40</f>
        <v>27.36</v>
      </c>
      <c r="E8" s="16">
        <f t="shared" si="8"/>
        <v>29.58</v>
      </c>
      <c r="F8" s="16">
        <f t="shared" si="8"/>
        <v>25.51</v>
      </c>
      <c r="G8" s="16">
        <f t="shared" si="8"/>
        <v>26.99</v>
      </c>
      <c r="I8" s="53">
        <f t="shared" si="2"/>
        <v>0</v>
      </c>
      <c r="J8" s="53">
        <f t="shared" si="3"/>
        <v>4.6869868799999992</v>
      </c>
      <c r="K8" s="53">
        <f t="shared" si="4"/>
        <v>4.2405000600000005</v>
      </c>
      <c r="L8" s="53">
        <f t="shared" si="5"/>
        <v>4.4276686600000001</v>
      </c>
      <c r="M8" s="53">
        <f t="shared" si="6"/>
        <v>4.6236029199999997</v>
      </c>
    </row>
    <row r="9" spans="1:13">
      <c r="A9" s="16" t="s">
        <v>440</v>
      </c>
      <c r="C9" s="16">
        <f>C43+C44+C45+C46+C47+C48+C49+C50</f>
        <v>3904.16</v>
      </c>
      <c r="D9" s="16">
        <f t="shared" ref="D9:G9" si="9">D43+D44+D45+D46+D47+D48+D49+D50</f>
        <v>4310.08</v>
      </c>
      <c r="E9" s="16">
        <f t="shared" si="9"/>
        <v>4113.55</v>
      </c>
      <c r="F9" s="16">
        <f t="shared" si="9"/>
        <v>4240.84</v>
      </c>
      <c r="G9" s="16">
        <f t="shared" si="9"/>
        <v>4575.84</v>
      </c>
      <c r="I9" s="53">
        <f t="shared" si="2"/>
        <v>562.76123903999996</v>
      </c>
      <c r="J9" s="53">
        <f t="shared" si="3"/>
        <v>738.35118463999993</v>
      </c>
      <c r="K9" s="53">
        <f t="shared" si="4"/>
        <v>589.70618735000005</v>
      </c>
      <c r="L9" s="53">
        <f t="shared" si="5"/>
        <v>736.06563544000005</v>
      </c>
      <c r="M9" s="53">
        <f t="shared" si="6"/>
        <v>783.87799871999994</v>
      </c>
    </row>
    <row r="10" spans="1:13">
      <c r="A10" s="16" t="s">
        <v>441</v>
      </c>
      <c r="C10" s="16">
        <f>C52+C53</f>
        <v>0</v>
      </c>
      <c r="D10" s="16">
        <f t="shared" ref="D10:G10" si="10">D52+D53</f>
        <v>218.42000000000002</v>
      </c>
      <c r="E10" s="16">
        <f t="shared" si="10"/>
        <v>251.76</v>
      </c>
      <c r="F10" s="16">
        <f t="shared" si="10"/>
        <v>261.09000000000003</v>
      </c>
      <c r="G10" s="16">
        <f t="shared" si="10"/>
        <v>142.41</v>
      </c>
      <c r="I10" s="53">
        <f t="shared" si="2"/>
        <v>0</v>
      </c>
      <c r="J10" s="53">
        <f t="shared" si="3"/>
        <v>37.417093360000003</v>
      </c>
      <c r="K10" s="53">
        <f t="shared" si="4"/>
        <v>36.091558320000004</v>
      </c>
      <c r="L10" s="53">
        <f t="shared" si="5"/>
        <v>45.316346940000003</v>
      </c>
      <c r="M10" s="53">
        <f t="shared" si="6"/>
        <v>24.395972279999999</v>
      </c>
    </row>
    <row r="11" spans="1:13">
      <c r="A11" s="16" t="s">
        <v>442</v>
      </c>
      <c r="C11" s="16">
        <f>SUM(C8:C10)</f>
        <v>3904.16</v>
      </c>
      <c r="D11" s="16">
        <f t="shared" ref="D11:G11" si="11">SUM(D8:D10)</f>
        <v>4555.8599999999997</v>
      </c>
      <c r="E11" s="16">
        <f t="shared" si="11"/>
        <v>4394.8900000000003</v>
      </c>
      <c r="F11" s="16">
        <f t="shared" si="11"/>
        <v>4527.4400000000005</v>
      </c>
      <c r="G11" s="16">
        <f t="shared" si="11"/>
        <v>4745.24</v>
      </c>
      <c r="I11" s="53">
        <f t="shared" si="2"/>
        <v>562.76123903999996</v>
      </c>
      <c r="J11" s="53">
        <f t="shared" si="3"/>
        <v>780.45526487999985</v>
      </c>
      <c r="K11" s="53">
        <f t="shared" si="4"/>
        <v>630.03824573000009</v>
      </c>
      <c r="L11" s="53">
        <f t="shared" si="5"/>
        <v>785.80965104000006</v>
      </c>
      <c r="M11" s="53">
        <f t="shared" si="6"/>
        <v>812.8975739199999</v>
      </c>
    </row>
    <row r="12" spans="1:13">
      <c r="I12" s="53"/>
      <c r="J12" s="53"/>
      <c r="K12" s="53"/>
      <c r="L12" s="53"/>
      <c r="M12" s="53"/>
    </row>
    <row r="13" spans="1:13">
      <c r="A13" s="16" t="s">
        <v>443</v>
      </c>
      <c r="C13" s="16">
        <f>C60</f>
        <v>0</v>
      </c>
      <c r="D13" s="16">
        <f t="shared" ref="D13:G13" si="12">D60</f>
        <v>712.64</v>
      </c>
      <c r="E13" s="16">
        <f t="shared" si="12"/>
        <v>770.42</v>
      </c>
      <c r="F13" s="16">
        <f t="shared" si="12"/>
        <v>664.49</v>
      </c>
      <c r="G13" s="16">
        <f t="shared" si="12"/>
        <v>703.01</v>
      </c>
      <c r="I13" s="53">
        <f t="shared" si="2"/>
        <v>0</v>
      </c>
      <c r="J13" s="53">
        <f t="shared" si="3"/>
        <v>122.08093311999998</v>
      </c>
      <c r="K13" s="53">
        <f t="shared" si="4"/>
        <v>110.44509994000001</v>
      </c>
      <c r="L13" s="53">
        <f t="shared" si="5"/>
        <v>115.33287134</v>
      </c>
      <c r="M13" s="53">
        <f t="shared" si="6"/>
        <v>120.43123707999999</v>
      </c>
    </row>
    <row r="14" spans="1:13">
      <c r="A14" s="16" t="s">
        <v>444</v>
      </c>
      <c r="C14" s="16">
        <f>C63</f>
        <v>0</v>
      </c>
      <c r="D14" s="16">
        <f t="shared" ref="D14:G14" si="13">D63</f>
        <v>2.48</v>
      </c>
      <c r="E14" s="16">
        <f t="shared" si="13"/>
        <v>2.86</v>
      </c>
      <c r="F14" s="16">
        <f t="shared" si="13"/>
        <v>2.2799999999999998</v>
      </c>
      <c r="G14" s="16">
        <f t="shared" si="13"/>
        <v>2.2799999999999998</v>
      </c>
      <c r="I14" s="53">
        <f t="shared" si="2"/>
        <v>0</v>
      </c>
      <c r="J14" s="53">
        <f t="shared" si="3"/>
        <v>0.42484383999999997</v>
      </c>
      <c r="K14" s="53">
        <f t="shared" si="4"/>
        <v>0.41000101999999999</v>
      </c>
      <c r="L14" s="53">
        <f t="shared" si="5"/>
        <v>0.39573047999999994</v>
      </c>
      <c r="M14" s="53">
        <f t="shared" si="6"/>
        <v>0.39058223999999991</v>
      </c>
    </row>
    <row r="15" spans="1:13">
      <c r="A15" s="16" t="s">
        <v>445</v>
      </c>
      <c r="C15" s="16">
        <f>C65+C66</f>
        <v>0</v>
      </c>
      <c r="D15" s="16">
        <f t="shared" ref="D15:G15" si="14">D65+D66</f>
        <v>162.73000000000002</v>
      </c>
      <c r="E15" s="16">
        <f t="shared" si="14"/>
        <v>187.57</v>
      </c>
      <c r="F15" s="16">
        <f t="shared" si="14"/>
        <v>194.51</v>
      </c>
      <c r="G15" s="16">
        <f t="shared" si="14"/>
        <v>106.11</v>
      </c>
      <c r="I15" s="53">
        <f t="shared" si="2"/>
        <v>0</v>
      </c>
      <c r="J15" s="53">
        <f t="shared" si="3"/>
        <v>27.876950840000003</v>
      </c>
      <c r="K15" s="53">
        <f t="shared" si="4"/>
        <v>26.889472490000003</v>
      </c>
      <c r="L15" s="53">
        <f t="shared" si="5"/>
        <v>33.76032266</v>
      </c>
      <c r="M15" s="53">
        <f t="shared" si="6"/>
        <v>18.177491879999998</v>
      </c>
    </row>
    <row r="16" spans="1:13">
      <c r="A16" s="16" t="s">
        <v>446</v>
      </c>
      <c r="C16" s="16">
        <f>SUM(C13:C15)</f>
        <v>0</v>
      </c>
      <c r="D16" s="16">
        <f t="shared" ref="D16:G16" si="15">SUM(D13:D15)</f>
        <v>877.85</v>
      </c>
      <c r="E16" s="16">
        <f t="shared" si="15"/>
        <v>960.84999999999991</v>
      </c>
      <c r="F16" s="16">
        <f t="shared" si="15"/>
        <v>861.28</v>
      </c>
      <c r="G16" s="16">
        <f t="shared" si="15"/>
        <v>811.4</v>
      </c>
      <c r="I16" s="53">
        <f t="shared" si="2"/>
        <v>0</v>
      </c>
      <c r="J16" s="53">
        <f t="shared" si="3"/>
        <v>150.3827278</v>
      </c>
      <c r="K16" s="53">
        <f t="shared" si="4"/>
        <v>137.74457344999999</v>
      </c>
      <c r="L16" s="53">
        <f t="shared" si="5"/>
        <v>149.48892447999998</v>
      </c>
      <c r="M16" s="53">
        <f t="shared" si="6"/>
        <v>138.99931119999999</v>
      </c>
    </row>
    <row r="17" spans="1:13">
      <c r="I17" s="53"/>
      <c r="J17" s="53"/>
      <c r="K17" s="53"/>
      <c r="L17" s="53"/>
      <c r="M17" s="53"/>
    </row>
    <row r="18" spans="1:13">
      <c r="A18" s="16" t="s">
        <v>447</v>
      </c>
      <c r="C18" s="32">
        <f>C3+C8+C13</f>
        <v>0</v>
      </c>
      <c r="D18" s="32">
        <f>D3+D8+D13</f>
        <v>740</v>
      </c>
      <c r="E18" s="32">
        <f t="shared" ref="D18:G20" si="16">E3+E8+E13</f>
        <v>800</v>
      </c>
      <c r="F18" s="32">
        <f t="shared" si="16"/>
        <v>690</v>
      </c>
      <c r="G18" s="32">
        <f>G3+G8+G13</f>
        <v>730</v>
      </c>
      <c r="I18" s="53">
        <f t="shared" si="2"/>
        <v>0</v>
      </c>
      <c r="J18" s="53">
        <f t="shared" si="3"/>
        <v>126.76791999999999</v>
      </c>
      <c r="K18" s="53">
        <f t="shared" si="4"/>
        <v>114.68560000000001</v>
      </c>
      <c r="L18" s="53">
        <f t="shared" si="5"/>
        <v>119.76053999999999</v>
      </c>
      <c r="M18" s="53">
        <f t="shared" si="6"/>
        <v>125.05483999999998</v>
      </c>
    </row>
    <row r="19" spans="1:13">
      <c r="A19" s="16" t="s">
        <v>448</v>
      </c>
      <c r="C19" s="32">
        <f>C4+C9+C14</f>
        <v>3904.16</v>
      </c>
      <c r="D19" s="32">
        <f>D4+D9+D14</f>
        <v>4320.0099999999993</v>
      </c>
      <c r="E19" s="32">
        <f t="shared" si="16"/>
        <v>4125</v>
      </c>
      <c r="F19" s="32">
        <f t="shared" si="16"/>
        <v>4249.99</v>
      </c>
      <c r="G19" s="32">
        <f>G4+G9+G14</f>
        <v>4584.99</v>
      </c>
      <c r="I19" s="53">
        <f t="shared" si="2"/>
        <v>562.76123903999996</v>
      </c>
      <c r="J19" s="53">
        <f t="shared" si="3"/>
        <v>740.05227307999985</v>
      </c>
      <c r="K19" s="53">
        <f t="shared" si="4"/>
        <v>591.34762499999999</v>
      </c>
      <c r="L19" s="53">
        <f t="shared" si="5"/>
        <v>737.65376433999995</v>
      </c>
      <c r="M19" s="53">
        <f t="shared" si="6"/>
        <v>785.44546691999994</v>
      </c>
    </row>
    <row r="20" spans="1:13">
      <c r="A20" s="16" t="s">
        <v>449</v>
      </c>
      <c r="C20" s="32">
        <f>C5+C10+C15</f>
        <v>0</v>
      </c>
      <c r="D20" s="32">
        <f t="shared" si="16"/>
        <v>381.15000000000003</v>
      </c>
      <c r="E20" s="32">
        <f t="shared" si="16"/>
        <v>439.33</v>
      </c>
      <c r="F20" s="32">
        <f t="shared" si="16"/>
        <v>455.6</v>
      </c>
      <c r="G20" s="32">
        <f t="shared" si="16"/>
        <v>248.51999999999998</v>
      </c>
      <c r="I20" s="53">
        <f t="shared" si="2"/>
        <v>0</v>
      </c>
      <c r="J20" s="53">
        <f t="shared" si="3"/>
        <v>65.294044200000002</v>
      </c>
      <c r="K20" s="53">
        <f t="shared" si="4"/>
        <v>62.98103081</v>
      </c>
      <c r="L20" s="53">
        <f t="shared" si="5"/>
        <v>79.076669600000002</v>
      </c>
      <c r="M20" s="53">
        <f t="shared" si="6"/>
        <v>42.573464159999993</v>
      </c>
    </row>
    <row r="21" spans="1:13">
      <c r="A21" s="16" t="s">
        <v>525</v>
      </c>
      <c r="C21" s="32">
        <f>SUM(C18:C20)</f>
        <v>3904.16</v>
      </c>
      <c r="D21" s="32">
        <f t="shared" ref="D21:F21" si="17">SUM(D18:D20)</f>
        <v>5441.1599999999989</v>
      </c>
      <c r="E21" s="32">
        <f t="shared" si="17"/>
        <v>5364.33</v>
      </c>
      <c r="F21" s="32">
        <f t="shared" si="17"/>
        <v>5395.59</v>
      </c>
      <c r="G21" s="32">
        <f>SUM(G18:G20)</f>
        <v>5563.51</v>
      </c>
      <c r="I21" s="53">
        <f t="shared" si="2"/>
        <v>562.76123903999996</v>
      </c>
      <c r="J21" s="53">
        <f t="shared" si="3"/>
        <v>932.11423727999977</v>
      </c>
      <c r="K21" s="53">
        <f t="shared" si="4"/>
        <v>769.01425581000001</v>
      </c>
      <c r="L21" s="53">
        <f t="shared" si="5"/>
        <v>936.49097394</v>
      </c>
      <c r="M21" s="53">
        <f t="shared" si="6"/>
        <v>953.07377107999991</v>
      </c>
    </row>
    <row r="25" spans="1:13">
      <c r="A25" s="33" t="s">
        <v>71</v>
      </c>
    </row>
    <row r="26" spans="1:13">
      <c r="A26" s="27" t="s">
        <v>144</v>
      </c>
      <c r="B26" s="27" t="s">
        <v>481</v>
      </c>
      <c r="C26" s="27" t="s">
        <v>482</v>
      </c>
      <c r="D26" s="27" t="s">
        <v>483</v>
      </c>
      <c r="E26" s="27">
        <v>2008</v>
      </c>
      <c r="F26" s="27">
        <v>2009</v>
      </c>
      <c r="G26" s="27" t="s">
        <v>484</v>
      </c>
    </row>
    <row r="27" spans="1:13">
      <c r="A27" s="28" t="s">
        <v>485</v>
      </c>
      <c r="B27" s="28"/>
      <c r="C27" s="28"/>
      <c r="D27" s="28"/>
      <c r="E27" s="28"/>
      <c r="F27" s="28"/>
      <c r="G27" s="28"/>
    </row>
    <row r="28" spans="1:13">
      <c r="A28" s="27" t="s">
        <v>361</v>
      </c>
      <c r="B28" s="27"/>
      <c r="C28" s="27"/>
      <c r="D28" s="27"/>
      <c r="E28" s="27"/>
      <c r="F28" s="27"/>
      <c r="G28" s="27"/>
    </row>
    <row r="29" spans="1:13">
      <c r="A29" s="27" t="s">
        <v>142</v>
      </c>
      <c r="B29" s="27" t="s">
        <v>311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 t="s">
        <v>577</v>
      </c>
    </row>
    <row r="30" spans="1:13">
      <c r="A30" s="28" t="s">
        <v>434</v>
      </c>
      <c r="B30" s="28"/>
      <c r="C30" s="28"/>
      <c r="D30" s="28"/>
      <c r="E30" s="28"/>
      <c r="F30" s="28"/>
      <c r="G30" s="28"/>
    </row>
    <row r="31" spans="1:13">
      <c r="A31" s="27" t="s">
        <v>435</v>
      </c>
      <c r="B31" s="27"/>
      <c r="C31" s="27"/>
      <c r="D31" s="27"/>
      <c r="E31" s="27"/>
      <c r="F31" s="27"/>
      <c r="G31" s="27"/>
    </row>
    <row r="32" spans="1:13">
      <c r="A32" s="27" t="s">
        <v>143</v>
      </c>
      <c r="B32" s="27" t="s">
        <v>311</v>
      </c>
      <c r="C32" s="27">
        <v>0</v>
      </c>
      <c r="D32" s="27">
        <v>7.45</v>
      </c>
      <c r="E32" s="27">
        <v>8.59</v>
      </c>
      <c r="F32" s="27">
        <v>6.87</v>
      </c>
      <c r="G32" s="27">
        <v>6.87</v>
      </c>
      <c r="H32" s="16" t="s">
        <v>520</v>
      </c>
    </row>
    <row r="33" spans="1:8">
      <c r="A33" s="28" t="s">
        <v>349</v>
      </c>
      <c r="B33" s="28"/>
      <c r="C33" s="28"/>
      <c r="D33" s="28"/>
      <c r="E33" s="28"/>
      <c r="F33" s="28"/>
      <c r="G33" s="28"/>
    </row>
    <row r="36" spans="1:8">
      <c r="A36" s="33" t="s">
        <v>53</v>
      </c>
    </row>
    <row r="37" spans="1:8">
      <c r="A37" s="27" t="s">
        <v>144</v>
      </c>
      <c r="B37" s="27" t="s">
        <v>481</v>
      </c>
      <c r="C37" s="27" t="s">
        <v>482</v>
      </c>
      <c r="D37" s="27" t="s">
        <v>483</v>
      </c>
      <c r="E37" s="27">
        <v>2008</v>
      </c>
      <c r="F37" s="27">
        <v>2009</v>
      </c>
      <c r="G37" s="27" t="s">
        <v>484</v>
      </c>
    </row>
    <row r="38" spans="1:8">
      <c r="A38" s="28" t="s">
        <v>485</v>
      </c>
      <c r="B38" s="28"/>
      <c r="C38" s="28"/>
      <c r="D38" s="28"/>
      <c r="E38" s="28"/>
      <c r="F38" s="28"/>
      <c r="G38" s="28"/>
    </row>
    <row r="39" spans="1:8">
      <c r="A39" s="27" t="s">
        <v>238</v>
      </c>
      <c r="B39" s="27"/>
      <c r="C39" s="27"/>
      <c r="D39" s="27"/>
      <c r="E39" s="27"/>
      <c r="F39" s="27"/>
      <c r="G39" s="27"/>
    </row>
    <row r="40" spans="1:8">
      <c r="A40" s="27" t="s">
        <v>72</v>
      </c>
      <c r="B40" s="27" t="s">
        <v>311</v>
      </c>
      <c r="C40" s="27">
        <v>0</v>
      </c>
      <c r="D40" s="27">
        <v>27.36</v>
      </c>
      <c r="E40" s="27">
        <v>29.58</v>
      </c>
      <c r="F40" s="27">
        <v>25.51</v>
      </c>
      <c r="G40" s="27">
        <v>26.99</v>
      </c>
      <c r="H40" s="16" t="s">
        <v>520</v>
      </c>
    </row>
    <row r="41" spans="1:8">
      <c r="A41" s="28" t="s">
        <v>434</v>
      </c>
      <c r="B41" s="28"/>
      <c r="C41" s="28"/>
      <c r="D41" s="28"/>
      <c r="E41" s="28"/>
      <c r="F41" s="28"/>
      <c r="G41" s="28"/>
    </row>
    <row r="42" spans="1:8">
      <c r="A42" s="27" t="s">
        <v>435</v>
      </c>
      <c r="B42" s="27"/>
      <c r="C42" s="27"/>
      <c r="D42" s="27"/>
      <c r="E42" s="27"/>
      <c r="F42" s="27"/>
      <c r="G42" s="27"/>
    </row>
    <row r="43" spans="1:8">
      <c r="A43" s="27" t="s">
        <v>73</v>
      </c>
      <c r="B43" s="27" t="s">
        <v>311</v>
      </c>
      <c r="C43" s="27">
        <v>2178.33</v>
      </c>
      <c r="D43" s="27">
        <v>166.67</v>
      </c>
      <c r="E43" s="27">
        <v>130</v>
      </c>
      <c r="F43" s="27">
        <v>135</v>
      </c>
      <c r="G43" s="27">
        <v>235</v>
      </c>
    </row>
    <row r="44" spans="1:8">
      <c r="A44" s="27" t="s">
        <v>85</v>
      </c>
      <c r="B44" s="27" t="s">
        <v>311</v>
      </c>
      <c r="C44" s="27">
        <v>0</v>
      </c>
      <c r="D44" s="27">
        <v>585</v>
      </c>
      <c r="E44" s="27">
        <v>625</v>
      </c>
      <c r="F44" s="27">
        <v>590</v>
      </c>
      <c r="G44" s="27">
        <v>540</v>
      </c>
      <c r="H44" s="16" t="s">
        <v>520</v>
      </c>
    </row>
    <row r="45" spans="1:8">
      <c r="A45" s="27" t="s">
        <v>86</v>
      </c>
      <c r="B45" s="27" t="s">
        <v>311</v>
      </c>
      <c r="C45" s="27">
        <v>0</v>
      </c>
      <c r="D45" s="27">
        <v>131.66999999999999</v>
      </c>
      <c r="E45" s="27">
        <v>125</v>
      </c>
      <c r="F45" s="27">
        <v>140</v>
      </c>
      <c r="G45" s="27">
        <v>130</v>
      </c>
      <c r="H45" s="16" t="s">
        <v>520</v>
      </c>
    </row>
    <row r="46" spans="1:8">
      <c r="A46" s="27" t="s">
        <v>143</v>
      </c>
      <c r="B46" s="27" t="s">
        <v>311</v>
      </c>
      <c r="C46" s="27">
        <v>0</v>
      </c>
      <c r="D46" s="27">
        <v>11.74</v>
      </c>
      <c r="E46" s="27">
        <v>13.55</v>
      </c>
      <c r="F46" s="27">
        <v>10.84</v>
      </c>
      <c r="G46" s="27">
        <v>10.84</v>
      </c>
      <c r="H46" s="16" t="s">
        <v>520</v>
      </c>
    </row>
    <row r="47" spans="1:8">
      <c r="A47" s="27" t="s">
        <v>87</v>
      </c>
      <c r="B47" s="27" t="s">
        <v>311</v>
      </c>
      <c r="C47" s="27">
        <v>0</v>
      </c>
      <c r="D47" s="27">
        <v>45</v>
      </c>
      <c r="E47" s="27">
        <v>20</v>
      </c>
      <c r="F47" s="27">
        <v>60</v>
      </c>
      <c r="G47" s="27">
        <v>55</v>
      </c>
      <c r="H47" s="16" t="s">
        <v>520</v>
      </c>
    </row>
    <row r="48" spans="1:8">
      <c r="A48" s="27" t="s">
        <v>88</v>
      </c>
      <c r="B48" s="27" t="s">
        <v>311</v>
      </c>
      <c r="C48" s="27">
        <v>1200</v>
      </c>
      <c r="D48" s="27">
        <v>3270</v>
      </c>
      <c r="E48" s="27">
        <v>3100</v>
      </c>
      <c r="F48" s="27">
        <v>3200</v>
      </c>
      <c r="G48" s="27">
        <v>3510</v>
      </c>
    </row>
    <row r="49" spans="1:8">
      <c r="A49" s="27" t="s">
        <v>117</v>
      </c>
      <c r="B49" s="27" t="s">
        <v>311</v>
      </c>
      <c r="C49" s="27">
        <v>92.5</v>
      </c>
      <c r="D49" s="27">
        <v>100</v>
      </c>
      <c r="E49" s="27">
        <v>100</v>
      </c>
      <c r="F49" s="27">
        <v>105</v>
      </c>
      <c r="G49" s="27">
        <v>95</v>
      </c>
    </row>
    <row r="50" spans="1:8">
      <c r="A50" s="27" t="s">
        <v>118</v>
      </c>
      <c r="B50" s="27" t="s">
        <v>311</v>
      </c>
      <c r="C50" s="27">
        <v>433.33</v>
      </c>
      <c r="D50" s="27">
        <v>0</v>
      </c>
      <c r="E50" s="27">
        <v>0</v>
      </c>
      <c r="F50" s="27">
        <v>0</v>
      </c>
      <c r="G50" s="27">
        <v>0</v>
      </c>
      <c r="H50" s="27" t="s">
        <v>577</v>
      </c>
    </row>
    <row r="51" spans="1:8">
      <c r="A51" s="28" t="s">
        <v>347</v>
      </c>
      <c r="B51" s="28"/>
      <c r="C51" s="28"/>
      <c r="D51" s="28"/>
      <c r="E51" s="28"/>
      <c r="F51" s="28"/>
      <c r="G51" s="28"/>
    </row>
    <row r="52" spans="1:8">
      <c r="A52" s="27" t="s">
        <v>51</v>
      </c>
      <c r="B52" s="27" t="s">
        <v>311</v>
      </c>
      <c r="C52" s="27">
        <v>0</v>
      </c>
      <c r="D52" s="27">
        <v>137.15</v>
      </c>
      <c r="E52" s="27">
        <v>148.41999999999999</v>
      </c>
      <c r="F52" s="27">
        <v>120.63</v>
      </c>
      <c r="G52" s="27">
        <v>142.4</v>
      </c>
      <c r="H52" s="16" t="s">
        <v>578</v>
      </c>
    </row>
    <row r="53" spans="1:8">
      <c r="A53" s="27" t="s">
        <v>52</v>
      </c>
      <c r="B53" s="27" t="s">
        <v>311</v>
      </c>
      <c r="C53" s="27">
        <v>0</v>
      </c>
      <c r="D53" s="27">
        <v>81.27</v>
      </c>
      <c r="E53" s="27">
        <v>103.34</v>
      </c>
      <c r="F53" s="27">
        <v>140.46</v>
      </c>
      <c r="G53" s="27">
        <v>0.01</v>
      </c>
      <c r="H53" s="16" t="s">
        <v>578</v>
      </c>
    </row>
    <row r="56" spans="1:8">
      <c r="A56" s="33" t="s">
        <v>54</v>
      </c>
    </row>
    <row r="57" spans="1:8" ht="15">
      <c r="A57" s="27" t="s">
        <v>144</v>
      </c>
      <c r="B57" s="27" t="s">
        <v>481</v>
      </c>
      <c r="C57" s="27" t="s">
        <v>482</v>
      </c>
      <c r="D57" s="27" t="s">
        <v>483</v>
      </c>
      <c r="E57" s="27">
        <v>2008</v>
      </c>
      <c r="F57" s="27">
        <v>2009</v>
      </c>
      <c r="G57" s="27" t="s">
        <v>484</v>
      </c>
      <c r="H57" s="29"/>
    </row>
    <row r="58" spans="1:8">
      <c r="A58" s="28" t="s">
        <v>485</v>
      </c>
      <c r="B58" s="28"/>
      <c r="C58" s="28"/>
      <c r="D58" s="28"/>
      <c r="E58" s="28"/>
      <c r="F58" s="28"/>
      <c r="G58" s="28"/>
      <c r="H58" s="28"/>
    </row>
    <row r="59" spans="1:8">
      <c r="A59" s="27" t="s">
        <v>238</v>
      </c>
      <c r="B59" s="27"/>
      <c r="C59" s="27"/>
      <c r="D59" s="27"/>
      <c r="E59" s="27"/>
      <c r="F59" s="27"/>
      <c r="G59" s="27"/>
      <c r="H59" s="27"/>
    </row>
    <row r="60" spans="1:8" ht="15">
      <c r="A60" s="27" t="s">
        <v>72</v>
      </c>
      <c r="B60" s="27" t="s">
        <v>311</v>
      </c>
      <c r="C60" s="27">
        <v>0</v>
      </c>
      <c r="D60" s="27">
        <v>712.64</v>
      </c>
      <c r="E60" s="27">
        <v>770.42</v>
      </c>
      <c r="F60" s="27">
        <v>664.49</v>
      </c>
      <c r="G60" s="27">
        <v>703.01</v>
      </c>
      <c r="H60" s="29" t="s">
        <v>520</v>
      </c>
    </row>
    <row r="61" spans="1:8">
      <c r="A61" s="28" t="s">
        <v>434</v>
      </c>
      <c r="B61" s="28"/>
      <c r="C61" s="28"/>
      <c r="D61" s="28"/>
      <c r="E61" s="28"/>
      <c r="F61" s="28"/>
      <c r="G61" s="28"/>
      <c r="H61" s="28"/>
    </row>
    <row r="62" spans="1:8">
      <c r="A62" s="27" t="s">
        <v>435</v>
      </c>
      <c r="B62" s="27"/>
      <c r="C62" s="27"/>
      <c r="D62" s="27"/>
      <c r="E62" s="27"/>
      <c r="F62" s="27"/>
      <c r="G62" s="27"/>
      <c r="H62" s="27"/>
    </row>
    <row r="63" spans="1:8" ht="15">
      <c r="A63" s="27" t="s">
        <v>143</v>
      </c>
      <c r="B63" s="27" t="s">
        <v>311</v>
      </c>
      <c r="C63" s="27">
        <v>0</v>
      </c>
      <c r="D63" s="27">
        <v>2.48</v>
      </c>
      <c r="E63" s="27">
        <v>2.86</v>
      </c>
      <c r="F63" s="27">
        <v>2.2799999999999998</v>
      </c>
      <c r="G63" s="27">
        <v>2.2799999999999998</v>
      </c>
      <c r="H63" s="29" t="s">
        <v>520</v>
      </c>
    </row>
    <row r="64" spans="1:8">
      <c r="A64" s="28" t="s">
        <v>347</v>
      </c>
      <c r="B64" s="28"/>
      <c r="C64" s="28"/>
      <c r="D64" s="28"/>
      <c r="E64" s="28"/>
      <c r="F64" s="28"/>
      <c r="G64" s="28"/>
      <c r="H64" s="28"/>
    </row>
    <row r="65" spans="1:8" ht="15">
      <c r="A65" s="27" t="s">
        <v>51</v>
      </c>
      <c r="B65" s="27" t="s">
        <v>311</v>
      </c>
      <c r="C65" s="27">
        <v>0</v>
      </c>
      <c r="D65" s="27">
        <v>102.18</v>
      </c>
      <c r="E65" s="27">
        <v>110.58</v>
      </c>
      <c r="F65" s="27">
        <v>89.87</v>
      </c>
      <c r="G65" s="27">
        <v>106.1</v>
      </c>
      <c r="H65" s="29" t="s">
        <v>578</v>
      </c>
    </row>
    <row r="66" spans="1:8" ht="15">
      <c r="A66" s="27" t="s">
        <v>52</v>
      </c>
      <c r="B66" s="27" t="s">
        <v>311</v>
      </c>
      <c r="C66" s="27">
        <v>0</v>
      </c>
      <c r="D66" s="27">
        <v>60.55</v>
      </c>
      <c r="E66" s="27">
        <v>76.989999999999995</v>
      </c>
      <c r="F66" s="27">
        <v>104.64</v>
      </c>
      <c r="G66" s="27">
        <v>0.01</v>
      </c>
      <c r="H66" s="29" t="s">
        <v>578</v>
      </c>
    </row>
  </sheetData>
  <mergeCells count="1">
    <mergeCell ref="I1:J1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D1" workbookViewId="0">
      <selection activeCell="N17" sqref="N17"/>
    </sheetView>
  </sheetViews>
  <sheetFormatPr baseColWidth="10" defaultRowHeight="13" x14ac:dyDescent="0"/>
  <cols>
    <col min="1" max="1" width="31.7109375" customWidth="1"/>
    <col min="8" max="8" width="14.42578125" style="16" customWidth="1"/>
  </cols>
  <sheetData>
    <row r="1" spans="1:13">
      <c r="A1" s="5" t="s">
        <v>530</v>
      </c>
      <c r="I1" s="74" t="s">
        <v>461</v>
      </c>
      <c r="J1" s="74"/>
    </row>
    <row r="2" spans="1:13">
      <c r="A2" s="6"/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s="8" t="s">
        <v>402</v>
      </c>
      <c r="C3">
        <f>C29+C30+C32+C34+C36+C38</f>
        <v>761.24</v>
      </c>
      <c r="D3">
        <f t="shared" ref="D3:G3" si="0">D29+D30+D32+D34+D36+D38</f>
        <v>1419.18</v>
      </c>
      <c r="E3">
        <f t="shared" si="0"/>
        <v>1.75</v>
      </c>
      <c r="F3">
        <f t="shared" si="0"/>
        <v>2127.9</v>
      </c>
      <c r="G3">
        <f t="shared" si="0"/>
        <v>2527.9</v>
      </c>
      <c r="I3" s="45">
        <f>C3*0.260627</f>
        <v>198.39969748000001</v>
      </c>
      <c r="J3" s="45">
        <f>D3*0.335067</f>
        <v>475.52038506000002</v>
      </c>
      <c r="K3" s="45">
        <f>E3*0.335067</f>
        <v>0.58636725000000001</v>
      </c>
      <c r="L3" s="45">
        <f>F3*0.350981</f>
        <v>746.85246989999996</v>
      </c>
      <c r="M3" s="45">
        <f>G3*0.335067</f>
        <v>847.01586930000008</v>
      </c>
    </row>
    <row r="4" spans="1:13">
      <c r="A4" s="8" t="s">
        <v>403</v>
      </c>
      <c r="C4">
        <f>C41+C43+C44+C45+C46+C47+C48</f>
        <v>948.77099999999996</v>
      </c>
      <c r="D4">
        <f t="shared" ref="D4:G4" si="1">D41+D43+D44+D45+D46+D47+D48</f>
        <v>257.05</v>
      </c>
      <c r="E4">
        <f t="shared" si="1"/>
        <v>263.41000000000003</v>
      </c>
      <c r="F4">
        <f t="shared" si="1"/>
        <v>262.14</v>
      </c>
      <c r="G4">
        <f t="shared" si="1"/>
        <v>245.57999999999998</v>
      </c>
      <c r="I4" s="45">
        <f t="shared" ref="I4:I21" si="2">C4*0.260627</f>
        <v>247.275339417</v>
      </c>
      <c r="J4" s="45">
        <f t="shared" ref="J4:J21" si="3">D4*0.335067</f>
        <v>86.128972349999998</v>
      </c>
      <c r="K4" s="45">
        <f t="shared" ref="K4:K21" si="4">E4*0.335067</f>
        <v>88.259998470000014</v>
      </c>
      <c r="L4" s="45">
        <f t="shared" ref="L4:L21" si="5">F4*0.350981</f>
        <v>92.006159339999996</v>
      </c>
      <c r="M4" s="45">
        <f t="shared" ref="M4:M21" si="6">G4*0.335067</f>
        <v>82.28575386</v>
      </c>
    </row>
    <row r="5" spans="1:13">
      <c r="A5" s="8" t="s">
        <v>404</v>
      </c>
      <c r="I5" s="45">
        <f t="shared" si="2"/>
        <v>0</v>
      </c>
      <c r="J5" s="45">
        <f t="shared" si="3"/>
        <v>0</v>
      </c>
      <c r="K5" s="45">
        <f t="shared" si="4"/>
        <v>0</v>
      </c>
      <c r="L5" s="45">
        <f t="shared" si="5"/>
        <v>0</v>
      </c>
      <c r="M5" s="45">
        <f t="shared" si="6"/>
        <v>0</v>
      </c>
    </row>
    <row r="6" spans="1:13">
      <c r="A6" s="8" t="s">
        <v>405</v>
      </c>
      <c r="C6">
        <f>SUM(C3:C5)</f>
        <v>1710.011</v>
      </c>
      <c r="D6">
        <f t="shared" ref="D6:G6" si="7">SUM(D3:D5)</f>
        <v>1676.23</v>
      </c>
      <c r="E6">
        <f t="shared" si="7"/>
        <v>265.16000000000003</v>
      </c>
      <c r="F6">
        <f t="shared" si="7"/>
        <v>2390.04</v>
      </c>
      <c r="G6">
        <f t="shared" si="7"/>
        <v>2773.48</v>
      </c>
      <c r="I6" s="45">
        <f t="shared" si="2"/>
        <v>445.67503689699998</v>
      </c>
      <c r="J6" s="45">
        <f t="shared" si="3"/>
        <v>561.64935740999999</v>
      </c>
      <c r="K6" s="45">
        <f t="shared" si="4"/>
        <v>88.846365720000009</v>
      </c>
      <c r="L6" s="45">
        <f t="shared" si="5"/>
        <v>838.85862923999991</v>
      </c>
      <c r="M6" s="45">
        <f t="shared" si="6"/>
        <v>929.30162315999996</v>
      </c>
    </row>
    <row r="7" spans="1:13">
      <c r="A7" s="8"/>
      <c r="I7" s="45"/>
      <c r="J7" s="45"/>
      <c r="K7" s="45"/>
      <c r="L7" s="45"/>
      <c r="M7" s="45"/>
    </row>
    <row r="8" spans="1:13">
      <c r="A8" s="8" t="s">
        <v>406</v>
      </c>
      <c r="I8" s="45">
        <f t="shared" si="2"/>
        <v>0</v>
      </c>
      <c r="J8" s="45">
        <f t="shared" si="3"/>
        <v>0</v>
      </c>
      <c r="K8" s="45">
        <f t="shared" si="4"/>
        <v>0</v>
      </c>
      <c r="L8" s="45">
        <f t="shared" si="5"/>
        <v>0</v>
      </c>
      <c r="M8" s="45">
        <f t="shared" si="6"/>
        <v>0</v>
      </c>
    </row>
    <row r="9" spans="1:13">
      <c r="A9" s="8" t="s">
        <v>313</v>
      </c>
      <c r="C9">
        <f>C56</f>
        <v>0</v>
      </c>
      <c r="D9">
        <f t="shared" ref="D9:G9" si="8">D56</f>
        <v>609</v>
      </c>
      <c r="E9">
        <f t="shared" si="8"/>
        <v>498</v>
      </c>
      <c r="F9">
        <f t="shared" si="8"/>
        <v>609</v>
      </c>
      <c r="G9">
        <f t="shared" si="8"/>
        <v>720</v>
      </c>
      <c r="I9" s="45">
        <f t="shared" si="2"/>
        <v>0</v>
      </c>
      <c r="J9" s="45">
        <f t="shared" si="3"/>
        <v>204.055803</v>
      </c>
      <c r="K9" s="45">
        <f t="shared" si="4"/>
        <v>166.86336600000001</v>
      </c>
      <c r="L9" s="45">
        <f t="shared" si="5"/>
        <v>213.74742899999998</v>
      </c>
      <c r="M9" s="45">
        <f t="shared" si="6"/>
        <v>241.24824000000001</v>
      </c>
    </row>
    <row r="10" spans="1:13">
      <c r="A10" s="8" t="s">
        <v>314</v>
      </c>
      <c r="I10" s="45">
        <f t="shared" si="2"/>
        <v>0</v>
      </c>
      <c r="J10" s="45">
        <f t="shared" si="3"/>
        <v>0</v>
      </c>
      <c r="K10" s="45">
        <f t="shared" si="4"/>
        <v>0</v>
      </c>
      <c r="L10" s="45">
        <f t="shared" si="5"/>
        <v>0</v>
      </c>
      <c r="M10" s="45">
        <f t="shared" si="6"/>
        <v>0</v>
      </c>
    </row>
    <row r="11" spans="1:13">
      <c r="A11" s="8" t="s">
        <v>315</v>
      </c>
      <c r="C11">
        <f>SUM(C8:C10)</f>
        <v>0</v>
      </c>
      <c r="D11">
        <f t="shared" ref="D11:G11" si="9">SUM(D8:D10)</f>
        <v>609</v>
      </c>
      <c r="E11">
        <f t="shared" si="9"/>
        <v>498</v>
      </c>
      <c r="F11">
        <f t="shared" si="9"/>
        <v>609</v>
      </c>
      <c r="G11">
        <f t="shared" si="9"/>
        <v>720</v>
      </c>
      <c r="I11" s="45">
        <f t="shared" si="2"/>
        <v>0</v>
      </c>
      <c r="J11" s="45">
        <f t="shared" si="3"/>
        <v>204.055803</v>
      </c>
      <c r="K11" s="45">
        <f t="shared" si="4"/>
        <v>166.86336600000001</v>
      </c>
      <c r="L11" s="45">
        <f t="shared" si="5"/>
        <v>213.74742899999998</v>
      </c>
      <c r="M11" s="45">
        <f t="shared" si="6"/>
        <v>241.24824000000001</v>
      </c>
    </row>
    <row r="12" spans="1:13">
      <c r="A12" s="8"/>
      <c r="I12" s="45"/>
      <c r="J12" s="45"/>
      <c r="K12" s="45"/>
      <c r="L12" s="45"/>
      <c r="M12" s="45"/>
    </row>
    <row r="13" spans="1:13">
      <c r="A13" s="8" t="s">
        <v>316</v>
      </c>
      <c r="I13" s="45">
        <f t="shared" si="2"/>
        <v>0</v>
      </c>
      <c r="J13" s="45">
        <f t="shared" si="3"/>
        <v>0</v>
      </c>
      <c r="K13" s="45">
        <f t="shared" si="4"/>
        <v>0</v>
      </c>
      <c r="L13" s="45">
        <f t="shared" si="5"/>
        <v>0</v>
      </c>
      <c r="M13" s="45">
        <f t="shared" si="6"/>
        <v>0</v>
      </c>
    </row>
    <row r="14" spans="1:13">
      <c r="A14" s="8" t="s">
        <v>317</v>
      </c>
      <c r="I14" s="45">
        <f t="shared" si="2"/>
        <v>0</v>
      </c>
      <c r="J14" s="45">
        <f t="shared" si="3"/>
        <v>0</v>
      </c>
      <c r="K14" s="45">
        <f t="shared" si="4"/>
        <v>0</v>
      </c>
      <c r="L14" s="45">
        <f t="shared" si="5"/>
        <v>0</v>
      </c>
      <c r="M14" s="45">
        <f t="shared" si="6"/>
        <v>0</v>
      </c>
    </row>
    <row r="15" spans="1:13">
      <c r="A15" s="8" t="s">
        <v>318</v>
      </c>
      <c r="I15" s="45">
        <f t="shared" si="2"/>
        <v>0</v>
      </c>
      <c r="J15" s="45">
        <f t="shared" si="3"/>
        <v>0</v>
      </c>
      <c r="K15" s="45">
        <f t="shared" si="4"/>
        <v>0</v>
      </c>
      <c r="L15" s="45">
        <f t="shared" si="5"/>
        <v>0</v>
      </c>
      <c r="M15" s="45">
        <f t="shared" si="6"/>
        <v>0</v>
      </c>
    </row>
    <row r="16" spans="1:13">
      <c r="A16" s="8" t="s">
        <v>319</v>
      </c>
      <c r="I16" s="45">
        <f t="shared" si="2"/>
        <v>0</v>
      </c>
      <c r="J16" s="45">
        <f t="shared" si="3"/>
        <v>0</v>
      </c>
      <c r="K16" s="45">
        <f t="shared" si="4"/>
        <v>0</v>
      </c>
      <c r="L16" s="45">
        <f t="shared" si="5"/>
        <v>0</v>
      </c>
      <c r="M16" s="45">
        <f t="shared" si="6"/>
        <v>0</v>
      </c>
    </row>
    <row r="17" spans="1:13">
      <c r="A17" s="8"/>
      <c r="I17" s="45"/>
      <c r="J17" s="45"/>
      <c r="K17" s="45"/>
      <c r="L17" s="45"/>
      <c r="M17" s="45"/>
    </row>
    <row r="18" spans="1:13">
      <c r="A18" s="8" t="s">
        <v>320</v>
      </c>
      <c r="C18" s="8">
        <f>C3+C8+C13</f>
        <v>761.24</v>
      </c>
      <c r="D18" s="8">
        <f>D3+D8+D13</f>
        <v>1419.18</v>
      </c>
      <c r="E18" s="8">
        <f t="shared" ref="D18:G20" si="10">E3+E8+E13</f>
        <v>1.75</v>
      </c>
      <c r="F18" s="8">
        <f t="shared" si="10"/>
        <v>2127.9</v>
      </c>
      <c r="G18" s="8">
        <f>G3+G8+G13</f>
        <v>2527.9</v>
      </c>
      <c r="I18" s="45">
        <f t="shared" si="2"/>
        <v>198.39969748000001</v>
      </c>
      <c r="J18" s="45">
        <f t="shared" si="3"/>
        <v>475.52038506000002</v>
      </c>
      <c r="K18" s="45">
        <f t="shared" si="4"/>
        <v>0.58636725000000001</v>
      </c>
      <c r="L18" s="45">
        <f t="shared" si="5"/>
        <v>746.85246989999996</v>
      </c>
      <c r="M18" s="45">
        <f t="shared" si="6"/>
        <v>847.01586930000008</v>
      </c>
    </row>
    <row r="19" spans="1:13">
      <c r="A19" s="8" t="s">
        <v>321</v>
      </c>
      <c r="C19" s="8">
        <f>C4+C9+C14</f>
        <v>948.77099999999996</v>
      </c>
      <c r="D19" s="8">
        <f>D4+D9+D14</f>
        <v>866.05</v>
      </c>
      <c r="E19" s="8">
        <f t="shared" si="10"/>
        <v>761.41000000000008</v>
      </c>
      <c r="F19" s="8">
        <f t="shared" si="10"/>
        <v>871.14</v>
      </c>
      <c r="G19" s="8">
        <f>G4+G9+G14</f>
        <v>965.57999999999993</v>
      </c>
      <c r="I19" s="45">
        <f t="shared" si="2"/>
        <v>247.275339417</v>
      </c>
      <c r="J19" s="45">
        <f t="shared" si="3"/>
        <v>290.18477535</v>
      </c>
      <c r="K19" s="45">
        <f t="shared" si="4"/>
        <v>255.12336447000004</v>
      </c>
      <c r="L19" s="45">
        <f t="shared" si="5"/>
        <v>305.75358833999996</v>
      </c>
      <c r="M19" s="45">
        <f t="shared" si="6"/>
        <v>323.53399385999995</v>
      </c>
    </row>
    <row r="20" spans="1:13">
      <c r="A20" s="8" t="s">
        <v>322</v>
      </c>
      <c r="C20" s="8">
        <f>C5+C10+C15</f>
        <v>0</v>
      </c>
      <c r="D20" s="8">
        <f t="shared" si="10"/>
        <v>0</v>
      </c>
      <c r="E20" s="8">
        <f t="shared" si="10"/>
        <v>0</v>
      </c>
      <c r="F20" s="8">
        <f t="shared" si="10"/>
        <v>0</v>
      </c>
      <c r="G20" s="8">
        <f t="shared" si="10"/>
        <v>0</v>
      </c>
      <c r="I20" s="45">
        <f t="shared" si="2"/>
        <v>0</v>
      </c>
      <c r="J20" s="45">
        <f t="shared" si="3"/>
        <v>0</v>
      </c>
      <c r="K20" s="45">
        <f t="shared" si="4"/>
        <v>0</v>
      </c>
      <c r="L20" s="45">
        <f t="shared" si="5"/>
        <v>0</v>
      </c>
      <c r="M20" s="45">
        <f t="shared" si="6"/>
        <v>0</v>
      </c>
    </row>
    <row r="21" spans="1:13">
      <c r="A21" s="8" t="s">
        <v>526</v>
      </c>
      <c r="C21" s="8">
        <f>SUM(C18:C20)</f>
        <v>1710.011</v>
      </c>
      <c r="D21" s="8">
        <f t="shared" ref="D21:F21" si="11">SUM(D18:D20)</f>
        <v>2285.23</v>
      </c>
      <c r="E21" s="8">
        <f t="shared" si="11"/>
        <v>763.16000000000008</v>
      </c>
      <c r="F21" s="8">
        <f t="shared" si="11"/>
        <v>2999.04</v>
      </c>
      <c r="G21" s="8">
        <f>SUM(G18:G20)</f>
        <v>3493.48</v>
      </c>
      <c r="I21" s="45">
        <f t="shared" si="2"/>
        <v>445.67503689699998</v>
      </c>
      <c r="J21" s="45">
        <f t="shared" si="3"/>
        <v>765.70516040999996</v>
      </c>
      <c r="K21" s="45">
        <f t="shared" si="4"/>
        <v>255.70973172000004</v>
      </c>
      <c r="L21" s="45">
        <f t="shared" si="5"/>
        <v>1052.60605824</v>
      </c>
      <c r="M21" s="45">
        <f t="shared" si="6"/>
        <v>1170.5498631600001</v>
      </c>
    </row>
    <row r="25" spans="1:13">
      <c r="A25" s="5" t="s">
        <v>92</v>
      </c>
    </row>
    <row r="26" spans="1:13" ht="15">
      <c r="A26" s="1" t="s">
        <v>139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485</v>
      </c>
      <c r="B27" s="28"/>
      <c r="C27" s="28"/>
      <c r="D27" s="28"/>
      <c r="E27" s="28"/>
      <c r="F27" s="28"/>
      <c r="G27" s="28"/>
      <c r="H27" s="28"/>
    </row>
    <row r="28" spans="1:13">
      <c r="A28" s="27" t="s">
        <v>486</v>
      </c>
      <c r="B28" s="27"/>
      <c r="C28" s="27"/>
      <c r="D28" s="27"/>
      <c r="E28" s="27"/>
      <c r="F28" s="27"/>
      <c r="G28" s="27"/>
      <c r="H28" s="27"/>
    </row>
    <row r="29" spans="1:13" ht="15">
      <c r="A29" s="1" t="s">
        <v>55</v>
      </c>
      <c r="B29" s="1" t="s">
        <v>311</v>
      </c>
      <c r="C29" s="1">
        <v>418.75</v>
      </c>
      <c r="D29" s="1">
        <v>0</v>
      </c>
      <c r="E29" s="1">
        <v>0</v>
      </c>
      <c r="F29" s="1">
        <v>0</v>
      </c>
      <c r="G29" s="1">
        <v>0</v>
      </c>
      <c r="H29" s="29" t="s">
        <v>516</v>
      </c>
    </row>
    <row r="30" spans="1:13" ht="15">
      <c r="A30" s="1" t="s">
        <v>126</v>
      </c>
      <c r="B30" s="1" t="s">
        <v>311</v>
      </c>
      <c r="C30" s="1">
        <v>0</v>
      </c>
      <c r="D30" s="1">
        <v>1419.18</v>
      </c>
      <c r="E30" s="1">
        <v>1.75</v>
      </c>
      <c r="F30" s="1">
        <v>2127.9</v>
      </c>
      <c r="G30" s="1">
        <v>2127.9</v>
      </c>
      <c r="H30" s="29" t="s">
        <v>520</v>
      </c>
    </row>
    <row r="31" spans="1:13">
      <c r="A31" s="27" t="s">
        <v>127</v>
      </c>
      <c r="B31" s="27"/>
      <c r="C31" s="27"/>
      <c r="D31" s="27"/>
      <c r="E31" s="27"/>
      <c r="F31" s="27"/>
      <c r="G31" s="27"/>
      <c r="H31" s="27"/>
    </row>
    <row r="32" spans="1:13" ht="15">
      <c r="A32" s="1" t="s">
        <v>128</v>
      </c>
      <c r="B32" s="1" t="s">
        <v>311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9" t="s">
        <v>517</v>
      </c>
    </row>
    <row r="33" spans="1:8">
      <c r="A33" s="27" t="s">
        <v>431</v>
      </c>
      <c r="B33" s="27"/>
      <c r="C33" s="27"/>
      <c r="D33" s="27"/>
      <c r="E33" s="27"/>
      <c r="F33" s="27"/>
      <c r="G33" s="27"/>
      <c r="H33" s="27"/>
    </row>
    <row r="34" spans="1:8" ht="15">
      <c r="A34" s="1" t="s">
        <v>129</v>
      </c>
      <c r="B34" s="1" t="s">
        <v>311</v>
      </c>
      <c r="C34" s="1">
        <v>0</v>
      </c>
      <c r="D34" s="1">
        <v>0</v>
      </c>
      <c r="E34" s="1">
        <v>0</v>
      </c>
      <c r="F34" s="1">
        <v>0</v>
      </c>
      <c r="G34" s="1">
        <v>400</v>
      </c>
      <c r="H34" s="29" t="s">
        <v>518</v>
      </c>
    </row>
    <row r="35" spans="1:8">
      <c r="A35" s="27" t="s">
        <v>224</v>
      </c>
      <c r="B35" s="27"/>
      <c r="C35" s="27"/>
      <c r="D35" s="27"/>
      <c r="E35" s="27"/>
      <c r="F35" s="27"/>
      <c r="G35" s="27"/>
      <c r="H35" s="27"/>
    </row>
    <row r="36" spans="1:8" ht="15">
      <c r="A36" s="1" t="s">
        <v>130</v>
      </c>
      <c r="B36" s="1" t="s">
        <v>311</v>
      </c>
      <c r="C36" s="1">
        <v>342.49</v>
      </c>
      <c r="D36" s="1">
        <v>0</v>
      </c>
      <c r="E36" s="1">
        <v>0</v>
      </c>
      <c r="F36" s="1">
        <v>0</v>
      </c>
      <c r="G36" s="1">
        <v>0</v>
      </c>
      <c r="H36" s="29" t="s">
        <v>395</v>
      </c>
    </row>
    <row r="37" spans="1:8">
      <c r="A37" s="27" t="s">
        <v>470</v>
      </c>
      <c r="B37" s="27"/>
      <c r="C37" s="27"/>
      <c r="D37" s="27"/>
      <c r="E37" s="27"/>
      <c r="F37" s="27"/>
      <c r="G37" s="27"/>
      <c r="H37" s="27"/>
    </row>
    <row r="38" spans="1:8" ht="15">
      <c r="A38" s="1" t="s">
        <v>131</v>
      </c>
      <c r="B38" s="1" t="s">
        <v>311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29" t="s">
        <v>517</v>
      </c>
    </row>
    <row r="39" spans="1:8">
      <c r="A39" s="28" t="s">
        <v>434</v>
      </c>
      <c r="B39" s="28"/>
      <c r="C39" s="28"/>
      <c r="D39" s="28"/>
      <c r="E39" s="28"/>
      <c r="F39" s="28"/>
      <c r="G39" s="28"/>
      <c r="H39" s="28"/>
    </row>
    <row r="40" spans="1:8">
      <c r="A40" s="27" t="s">
        <v>435</v>
      </c>
      <c r="B40" s="27"/>
      <c r="C40" s="27"/>
      <c r="D40" s="27"/>
      <c r="E40" s="27"/>
      <c r="F40" s="27"/>
      <c r="G40" s="27"/>
      <c r="H40" s="27"/>
    </row>
    <row r="41" spans="1:8" ht="15">
      <c r="A41" s="1" t="s">
        <v>132</v>
      </c>
      <c r="B41" s="1" t="s">
        <v>311</v>
      </c>
      <c r="C41" s="1">
        <v>0</v>
      </c>
      <c r="D41" s="1">
        <v>30.19</v>
      </c>
      <c r="E41" s="1">
        <v>30.65</v>
      </c>
      <c r="F41" s="1">
        <v>37.340000000000003</v>
      </c>
      <c r="G41" s="1">
        <v>22.56</v>
      </c>
      <c r="H41" s="29" t="s">
        <v>576</v>
      </c>
    </row>
    <row r="42" spans="1:8">
      <c r="A42" s="28" t="s">
        <v>347</v>
      </c>
      <c r="B42" s="28"/>
      <c r="C42" s="28"/>
      <c r="D42" s="28"/>
      <c r="E42" s="28"/>
      <c r="F42" s="28"/>
      <c r="G42" s="28"/>
      <c r="H42" s="28"/>
    </row>
    <row r="43" spans="1:8" ht="15">
      <c r="A43" s="1" t="s">
        <v>133</v>
      </c>
      <c r="B43" s="1" t="s">
        <v>311</v>
      </c>
      <c r="C43" s="1">
        <v>0</v>
      </c>
      <c r="D43" s="1">
        <v>191.52</v>
      </c>
      <c r="E43" s="1">
        <v>186.71</v>
      </c>
      <c r="F43" s="1">
        <v>193.14</v>
      </c>
      <c r="G43" s="1">
        <v>194.7</v>
      </c>
      <c r="H43" s="29" t="s">
        <v>576</v>
      </c>
    </row>
    <row r="44" spans="1:8" ht="15">
      <c r="A44" s="1" t="s">
        <v>134</v>
      </c>
      <c r="B44" s="1" t="s">
        <v>311</v>
      </c>
      <c r="C44" s="1">
        <v>0</v>
      </c>
      <c r="D44" s="1">
        <v>14.13</v>
      </c>
      <c r="E44" s="1">
        <v>22.23</v>
      </c>
      <c r="F44" s="1">
        <v>7.46</v>
      </c>
      <c r="G44" s="1">
        <v>12.7</v>
      </c>
      <c r="H44" s="29" t="s">
        <v>576</v>
      </c>
    </row>
    <row r="45" spans="1:8" ht="15">
      <c r="A45" s="1" t="s">
        <v>135</v>
      </c>
      <c r="B45" s="1" t="s">
        <v>311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9" t="s">
        <v>574</v>
      </c>
    </row>
    <row r="46" spans="1:8" ht="15">
      <c r="A46" s="1" t="s">
        <v>136</v>
      </c>
      <c r="B46" s="1" t="s">
        <v>311</v>
      </c>
      <c r="C46" s="1">
        <v>948.77099999999996</v>
      </c>
      <c r="D46" s="1">
        <v>0</v>
      </c>
      <c r="E46" s="1">
        <v>0</v>
      </c>
      <c r="F46" s="1">
        <v>0</v>
      </c>
      <c r="G46" s="1">
        <v>0</v>
      </c>
      <c r="H46" s="29" t="s">
        <v>575</v>
      </c>
    </row>
    <row r="47" spans="1:8" ht="15">
      <c r="A47" s="1" t="s">
        <v>137</v>
      </c>
      <c r="B47" s="1" t="s">
        <v>311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29" t="s">
        <v>574</v>
      </c>
    </row>
    <row r="48" spans="1:8" ht="15">
      <c r="A48" s="1" t="s">
        <v>138</v>
      </c>
      <c r="B48" s="1" t="s">
        <v>311</v>
      </c>
      <c r="C48" s="1">
        <v>0</v>
      </c>
      <c r="D48" s="1">
        <v>21.21</v>
      </c>
      <c r="E48" s="1">
        <v>23.82</v>
      </c>
      <c r="F48" s="1">
        <v>24.2</v>
      </c>
      <c r="G48" s="1">
        <v>15.62</v>
      </c>
      <c r="H48" s="29" t="s">
        <v>520</v>
      </c>
    </row>
    <row r="51" spans="1:8">
      <c r="A51" s="13" t="s">
        <v>94</v>
      </c>
    </row>
    <row r="52" spans="1:8">
      <c r="A52" s="1" t="s">
        <v>331</v>
      </c>
      <c r="B52" s="1" t="s">
        <v>481</v>
      </c>
      <c r="C52" s="1" t="s">
        <v>482</v>
      </c>
      <c r="D52" s="1" t="s">
        <v>483</v>
      </c>
      <c r="E52" s="1">
        <v>2008</v>
      </c>
      <c r="F52" s="1">
        <v>2009</v>
      </c>
      <c r="G52" s="1" t="s">
        <v>484</v>
      </c>
    </row>
    <row r="53" spans="1:8">
      <c r="A53" s="72" t="s">
        <v>324</v>
      </c>
      <c r="B53" s="72"/>
      <c r="C53" s="72"/>
      <c r="D53" s="72"/>
      <c r="E53" s="72"/>
      <c r="F53" s="72"/>
      <c r="G53" s="72"/>
    </row>
    <row r="54" spans="1:8">
      <c r="A54" s="72" t="s">
        <v>434</v>
      </c>
      <c r="B54" s="72"/>
      <c r="C54" s="72"/>
      <c r="D54" s="72"/>
      <c r="E54" s="72"/>
      <c r="F54" s="72"/>
      <c r="G54" s="72"/>
    </row>
    <row r="55" spans="1:8">
      <c r="A55" s="73" t="s">
        <v>435</v>
      </c>
      <c r="B55" s="73"/>
      <c r="C55" s="73"/>
      <c r="D55" s="73"/>
      <c r="E55" s="73"/>
      <c r="F55" s="73"/>
      <c r="G55" s="73"/>
    </row>
    <row r="56" spans="1:8" ht="15">
      <c r="A56" s="1" t="s">
        <v>93</v>
      </c>
      <c r="B56" s="1" t="s">
        <v>311</v>
      </c>
      <c r="C56" s="1">
        <v>0</v>
      </c>
      <c r="D56" s="1">
        <v>609</v>
      </c>
      <c r="E56" s="1">
        <v>498</v>
      </c>
      <c r="F56" s="1">
        <v>609</v>
      </c>
      <c r="G56" s="1">
        <v>720</v>
      </c>
      <c r="H56" s="29" t="s">
        <v>520</v>
      </c>
    </row>
    <row r="57" spans="1:8">
      <c r="A57" s="72" t="s">
        <v>349</v>
      </c>
      <c r="B57" s="72"/>
      <c r="C57" s="72"/>
      <c r="D57" s="72"/>
      <c r="E57" s="72"/>
      <c r="F57" s="72"/>
      <c r="G57" s="72"/>
    </row>
  </sheetData>
  <mergeCells count="5">
    <mergeCell ref="I1:J1"/>
    <mergeCell ref="A57:G57"/>
    <mergeCell ref="A53:G53"/>
    <mergeCell ref="A54:G54"/>
    <mergeCell ref="A55:G55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I3" sqref="I3:M21"/>
    </sheetView>
  </sheetViews>
  <sheetFormatPr baseColWidth="10" defaultRowHeight="13" x14ac:dyDescent="0"/>
  <cols>
    <col min="1" max="1" width="26.42578125" customWidth="1"/>
  </cols>
  <sheetData>
    <row r="1" spans="1:13">
      <c r="A1" s="5" t="s">
        <v>529</v>
      </c>
      <c r="I1" s="74" t="s">
        <v>461</v>
      </c>
      <c r="J1" s="74"/>
    </row>
    <row r="2" spans="1:13">
      <c r="A2" s="6"/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s="8" t="s">
        <v>402</v>
      </c>
      <c r="C3">
        <f>C29+C30+C31+C33</f>
        <v>492.36</v>
      </c>
      <c r="D3">
        <f t="shared" ref="D3:G3" si="0">D29+D30+D31+D33</f>
        <v>379.7</v>
      </c>
      <c r="E3">
        <f t="shared" si="0"/>
        <v>403.15000000000003</v>
      </c>
      <c r="F3">
        <f t="shared" si="0"/>
        <v>386.95</v>
      </c>
      <c r="G3">
        <f t="shared" si="0"/>
        <v>349</v>
      </c>
      <c r="I3" s="41">
        <f>C3*1.0485</f>
        <v>516.23946000000001</v>
      </c>
      <c r="J3" s="41">
        <f>D3*1.3362</f>
        <v>507.35514000000001</v>
      </c>
      <c r="K3" s="41">
        <f>E3*1.3919</f>
        <v>561.14448500000003</v>
      </c>
      <c r="L3" s="41">
        <f>F3*1.4406</f>
        <v>557.44017000000008</v>
      </c>
      <c r="M3" s="41">
        <f>G3*1.3362</f>
        <v>466.3338</v>
      </c>
    </row>
    <row r="4" spans="1:13">
      <c r="A4" s="8" t="s">
        <v>403</v>
      </c>
      <c r="C4">
        <f>C36</f>
        <v>12.02</v>
      </c>
      <c r="D4">
        <f t="shared" ref="D4:G4" si="1">D36</f>
        <v>7.25</v>
      </c>
      <c r="E4">
        <f t="shared" si="1"/>
        <v>2.92</v>
      </c>
      <c r="F4">
        <f t="shared" si="1"/>
        <v>6.34</v>
      </c>
      <c r="G4">
        <f t="shared" si="1"/>
        <v>12.5</v>
      </c>
      <c r="I4" s="41">
        <f t="shared" ref="I4:I21" si="2">C4*1.0485</f>
        <v>12.602969999999999</v>
      </c>
      <c r="J4" s="41">
        <f t="shared" ref="J4:J21" si="3">D4*1.3362</f>
        <v>9.6874500000000001</v>
      </c>
      <c r="K4" s="41">
        <f t="shared" ref="K4:K6" si="4">E4*1.3919</f>
        <v>4.0643479999999998</v>
      </c>
      <c r="L4" s="41">
        <f t="shared" ref="L4:L6" si="5">F4*1.4406</f>
        <v>9.1334040000000005</v>
      </c>
      <c r="M4" s="41">
        <f t="shared" ref="M4:M21" si="6">G4*1.3362</f>
        <v>16.702500000000001</v>
      </c>
    </row>
    <row r="5" spans="1:13">
      <c r="A5" s="8" t="s">
        <v>404</v>
      </c>
      <c r="C5">
        <f>C38</f>
        <v>155.06</v>
      </c>
      <c r="D5">
        <f t="shared" ref="D5:G5" si="7">D38</f>
        <v>322.05</v>
      </c>
      <c r="E5">
        <f t="shared" si="7"/>
        <v>302.55</v>
      </c>
      <c r="F5">
        <f t="shared" si="7"/>
        <v>328</v>
      </c>
      <c r="G5">
        <f t="shared" si="7"/>
        <v>335.6</v>
      </c>
      <c r="I5" s="41">
        <f t="shared" si="2"/>
        <v>162.58041</v>
      </c>
      <c r="J5" s="41">
        <f t="shared" si="3"/>
        <v>430.32321000000002</v>
      </c>
      <c r="K5" s="41">
        <f t="shared" si="4"/>
        <v>421.11934500000001</v>
      </c>
      <c r="L5" s="41">
        <f t="shared" si="5"/>
        <v>472.51680000000005</v>
      </c>
      <c r="M5" s="41">
        <f t="shared" si="6"/>
        <v>448.42872000000006</v>
      </c>
    </row>
    <row r="6" spans="1:13">
      <c r="A6" s="8" t="s">
        <v>405</v>
      </c>
      <c r="C6">
        <f>SUM(C3:C5)</f>
        <v>659.44</v>
      </c>
      <c r="D6">
        <f t="shared" ref="D6:G6" si="8">SUM(D3:D5)</f>
        <v>709</v>
      </c>
      <c r="E6">
        <f t="shared" si="8"/>
        <v>708.62000000000012</v>
      </c>
      <c r="F6">
        <f t="shared" si="8"/>
        <v>721.29</v>
      </c>
      <c r="G6">
        <f t="shared" si="8"/>
        <v>697.1</v>
      </c>
      <c r="I6" s="41">
        <f t="shared" si="2"/>
        <v>691.42284000000006</v>
      </c>
      <c r="J6" s="41">
        <f t="shared" si="3"/>
        <v>947.36580000000004</v>
      </c>
      <c r="K6" s="41">
        <f t="shared" si="4"/>
        <v>986.32817800000009</v>
      </c>
      <c r="L6" s="41">
        <f t="shared" si="5"/>
        <v>1039.0903740000001</v>
      </c>
      <c r="M6" s="41">
        <f t="shared" si="6"/>
        <v>931.4650200000001</v>
      </c>
    </row>
    <row r="7" spans="1:13">
      <c r="A7" s="8"/>
      <c r="I7" s="41"/>
      <c r="J7" s="41"/>
      <c r="K7" s="41"/>
      <c r="L7" s="41"/>
      <c r="M7" s="41"/>
    </row>
    <row r="8" spans="1:13">
      <c r="A8" s="8" t="s">
        <v>406</v>
      </c>
      <c r="I8" s="41">
        <f t="shared" si="2"/>
        <v>0</v>
      </c>
      <c r="J8" s="41">
        <f t="shared" si="3"/>
        <v>0</v>
      </c>
      <c r="K8" s="41">
        <f>E8*1.3919</f>
        <v>0</v>
      </c>
      <c r="L8" s="41">
        <f>F8*1.4406</f>
        <v>0</v>
      </c>
      <c r="M8" s="41">
        <f t="shared" si="6"/>
        <v>0</v>
      </c>
    </row>
    <row r="9" spans="1:13">
      <c r="A9" s="8" t="s">
        <v>313</v>
      </c>
      <c r="C9">
        <f>C46+C47</f>
        <v>1403.37</v>
      </c>
      <c r="D9">
        <f t="shared" ref="D9:G9" si="9">D46+D47</f>
        <v>1573.9699999999998</v>
      </c>
      <c r="E9">
        <f t="shared" si="9"/>
        <v>1295.0899999999999</v>
      </c>
      <c r="F9">
        <f t="shared" si="9"/>
        <v>1469.23</v>
      </c>
      <c r="G9">
        <f t="shared" si="9"/>
        <v>1957.58</v>
      </c>
      <c r="I9" s="41">
        <f t="shared" si="2"/>
        <v>1471.4334449999999</v>
      </c>
      <c r="J9" s="41">
        <f t="shared" si="3"/>
        <v>2103.1387139999997</v>
      </c>
      <c r="K9" s="41">
        <f t="shared" ref="K9:K11" si="10">E9*1.3919</f>
        <v>1802.6357709999997</v>
      </c>
      <c r="L9" s="41">
        <f t="shared" ref="L9:L11" si="11">F9*1.4406</f>
        <v>2116.5727380000003</v>
      </c>
      <c r="M9" s="41">
        <f t="shared" si="6"/>
        <v>2615.7183960000002</v>
      </c>
    </row>
    <row r="10" spans="1:13">
      <c r="A10" s="8" t="s">
        <v>314</v>
      </c>
      <c r="I10" s="41">
        <f t="shared" si="2"/>
        <v>0</v>
      </c>
      <c r="J10" s="41">
        <f t="shared" si="3"/>
        <v>0</v>
      </c>
      <c r="K10" s="41">
        <f t="shared" si="10"/>
        <v>0</v>
      </c>
      <c r="L10" s="41">
        <f t="shared" si="11"/>
        <v>0</v>
      </c>
      <c r="M10" s="41">
        <f t="shared" si="6"/>
        <v>0</v>
      </c>
    </row>
    <row r="11" spans="1:13">
      <c r="A11" s="8" t="s">
        <v>315</v>
      </c>
      <c r="C11">
        <f>SUM(C8:C10)</f>
        <v>1403.37</v>
      </c>
      <c r="D11">
        <f t="shared" ref="D11:G11" si="12">SUM(D8:D10)</f>
        <v>1573.9699999999998</v>
      </c>
      <c r="E11">
        <f t="shared" si="12"/>
        <v>1295.0899999999999</v>
      </c>
      <c r="F11">
        <f t="shared" si="12"/>
        <v>1469.23</v>
      </c>
      <c r="G11">
        <f t="shared" si="12"/>
        <v>1957.58</v>
      </c>
      <c r="I11" s="41">
        <f t="shared" si="2"/>
        <v>1471.4334449999999</v>
      </c>
      <c r="J11" s="41">
        <f t="shared" si="3"/>
        <v>2103.1387139999997</v>
      </c>
      <c r="K11" s="41">
        <f t="shared" si="10"/>
        <v>1802.6357709999997</v>
      </c>
      <c r="L11" s="41">
        <f t="shared" si="11"/>
        <v>2116.5727380000003</v>
      </c>
      <c r="M11" s="41">
        <f t="shared" si="6"/>
        <v>2615.7183960000002</v>
      </c>
    </row>
    <row r="12" spans="1:13">
      <c r="A12" s="8"/>
      <c r="I12" s="41"/>
      <c r="J12" s="41"/>
      <c r="K12" s="41"/>
      <c r="L12" s="41"/>
      <c r="M12" s="41"/>
    </row>
    <row r="13" spans="1:13">
      <c r="A13" s="8" t="s">
        <v>316</v>
      </c>
      <c r="I13" s="41">
        <f t="shared" si="2"/>
        <v>0</v>
      </c>
      <c r="J13" s="41">
        <f t="shared" si="3"/>
        <v>0</v>
      </c>
      <c r="K13" s="41">
        <f>E13*1.3919</f>
        <v>0</v>
      </c>
      <c r="L13" s="41">
        <f>F13*1.4406</f>
        <v>0</v>
      </c>
      <c r="M13" s="41">
        <f t="shared" si="6"/>
        <v>0</v>
      </c>
    </row>
    <row r="14" spans="1:13">
      <c r="A14" s="8" t="s">
        <v>317</v>
      </c>
      <c r="I14" s="41">
        <f t="shared" si="2"/>
        <v>0</v>
      </c>
      <c r="J14" s="41">
        <f t="shared" si="3"/>
        <v>0</v>
      </c>
      <c r="K14" s="41">
        <f t="shared" ref="K14:K16" si="13">E14*1.3919</f>
        <v>0</v>
      </c>
      <c r="L14" s="41">
        <f t="shared" ref="L14:L16" si="14">F14*1.4406</f>
        <v>0</v>
      </c>
      <c r="M14" s="41">
        <f t="shared" si="6"/>
        <v>0</v>
      </c>
    </row>
    <row r="15" spans="1:13">
      <c r="A15" s="8" t="s">
        <v>318</v>
      </c>
      <c r="I15" s="41">
        <f t="shared" si="2"/>
        <v>0</v>
      </c>
      <c r="J15" s="41">
        <f t="shared" si="3"/>
        <v>0</v>
      </c>
      <c r="K15" s="41">
        <f t="shared" si="13"/>
        <v>0</v>
      </c>
      <c r="L15" s="41">
        <f t="shared" si="14"/>
        <v>0</v>
      </c>
      <c r="M15" s="41">
        <f t="shared" si="6"/>
        <v>0</v>
      </c>
    </row>
    <row r="16" spans="1:13">
      <c r="A16" s="8" t="s">
        <v>319</v>
      </c>
      <c r="I16" s="41">
        <f t="shared" si="2"/>
        <v>0</v>
      </c>
      <c r="J16" s="41">
        <f t="shared" si="3"/>
        <v>0</v>
      </c>
      <c r="K16" s="41">
        <f t="shared" si="13"/>
        <v>0</v>
      </c>
      <c r="L16" s="41">
        <f t="shared" si="14"/>
        <v>0</v>
      </c>
      <c r="M16" s="41">
        <f t="shared" si="6"/>
        <v>0</v>
      </c>
    </row>
    <row r="17" spans="1:13">
      <c r="A17" s="8"/>
      <c r="I17" s="41"/>
      <c r="J17" s="41"/>
      <c r="K17" s="41"/>
      <c r="L17" s="41"/>
      <c r="M17" s="41"/>
    </row>
    <row r="18" spans="1:13">
      <c r="A18" s="8" t="s">
        <v>320</v>
      </c>
      <c r="C18" s="8">
        <f>C3+C8+C13</f>
        <v>492.36</v>
      </c>
      <c r="D18" s="8">
        <f>D3+D8+D13</f>
        <v>379.7</v>
      </c>
      <c r="E18" s="8">
        <f t="shared" ref="D18:G20" si="15">E3+E8+E13</f>
        <v>403.15000000000003</v>
      </c>
      <c r="F18" s="8">
        <f t="shared" si="15"/>
        <v>386.95</v>
      </c>
      <c r="G18" s="8">
        <f>G3+G8+G13</f>
        <v>349</v>
      </c>
      <c r="I18" s="41">
        <f t="shared" si="2"/>
        <v>516.23946000000001</v>
      </c>
      <c r="J18" s="41">
        <f t="shared" si="3"/>
        <v>507.35514000000001</v>
      </c>
      <c r="K18" s="41">
        <f>E18*1.3919</f>
        <v>561.14448500000003</v>
      </c>
      <c r="L18" s="41">
        <f>F18*1.4406</f>
        <v>557.44017000000008</v>
      </c>
      <c r="M18" s="41">
        <f t="shared" si="6"/>
        <v>466.3338</v>
      </c>
    </row>
    <row r="19" spans="1:13">
      <c r="A19" s="8" t="s">
        <v>321</v>
      </c>
      <c r="C19" s="8">
        <f>C4+C9+C14</f>
        <v>1415.3899999999999</v>
      </c>
      <c r="D19" s="8">
        <f>D4+D9+D14</f>
        <v>1581.2199999999998</v>
      </c>
      <c r="E19" s="8">
        <f t="shared" si="15"/>
        <v>1298.01</v>
      </c>
      <c r="F19" s="8">
        <f t="shared" si="15"/>
        <v>1475.57</v>
      </c>
      <c r="G19" s="8">
        <f>G4+G9+G14</f>
        <v>1970.08</v>
      </c>
      <c r="I19" s="41">
        <f t="shared" si="2"/>
        <v>1484.0364149999998</v>
      </c>
      <c r="J19" s="41">
        <f t="shared" si="3"/>
        <v>2112.8261639999996</v>
      </c>
      <c r="K19" s="41">
        <f t="shared" ref="K19:K21" si="16">E19*1.3919</f>
        <v>1806.7001189999999</v>
      </c>
      <c r="L19" s="41">
        <f t="shared" ref="L19:L21" si="17">F19*1.4406</f>
        <v>2125.706142</v>
      </c>
      <c r="M19" s="41">
        <f t="shared" si="6"/>
        <v>2632.4208960000001</v>
      </c>
    </row>
    <row r="20" spans="1:13">
      <c r="A20" s="8" t="s">
        <v>322</v>
      </c>
      <c r="C20" s="8">
        <f>C5+C10+C15</f>
        <v>155.06</v>
      </c>
      <c r="D20" s="8">
        <f t="shared" si="15"/>
        <v>322.05</v>
      </c>
      <c r="E20" s="8">
        <f t="shared" si="15"/>
        <v>302.55</v>
      </c>
      <c r="F20" s="8">
        <f t="shared" si="15"/>
        <v>328</v>
      </c>
      <c r="G20" s="8">
        <f t="shared" si="15"/>
        <v>335.6</v>
      </c>
      <c r="I20" s="41">
        <f t="shared" si="2"/>
        <v>162.58041</v>
      </c>
      <c r="J20" s="41">
        <f t="shared" si="3"/>
        <v>430.32321000000002</v>
      </c>
      <c r="K20" s="41">
        <f t="shared" si="16"/>
        <v>421.11934500000001</v>
      </c>
      <c r="L20" s="41">
        <f t="shared" si="17"/>
        <v>472.51680000000005</v>
      </c>
      <c r="M20" s="41">
        <f t="shared" si="6"/>
        <v>448.42872000000006</v>
      </c>
    </row>
    <row r="21" spans="1:13">
      <c r="A21" s="8" t="s">
        <v>526</v>
      </c>
      <c r="C21" s="8">
        <f>SUM(C18:C20)</f>
        <v>2062.81</v>
      </c>
      <c r="D21" s="8">
        <f t="shared" ref="D21:F21" si="18">SUM(D18:D20)</f>
        <v>2282.9699999999998</v>
      </c>
      <c r="E21" s="8">
        <f t="shared" si="18"/>
        <v>2003.71</v>
      </c>
      <c r="F21" s="8">
        <f t="shared" si="18"/>
        <v>2190.52</v>
      </c>
      <c r="G21" s="8">
        <f>SUM(G18:G20)</f>
        <v>2654.68</v>
      </c>
      <c r="I21" s="41">
        <f t="shared" si="2"/>
        <v>2162.8562849999998</v>
      </c>
      <c r="J21" s="41">
        <f t="shared" si="3"/>
        <v>3050.5045139999997</v>
      </c>
      <c r="K21" s="41">
        <f t="shared" si="16"/>
        <v>2788.963949</v>
      </c>
      <c r="L21" s="41">
        <f t="shared" si="17"/>
        <v>3155.6631120000002</v>
      </c>
      <c r="M21" s="41">
        <f t="shared" si="6"/>
        <v>3547.1834159999999</v>
      </c>
    </row>
    <row r="25" spans="1:13">
      <c r="A25" s="5" t="s">
        <v>102</v>
      </c>
    </row>
    <row r="26" spans="1:13">
      <c r="A26" s="24" t="s">
        <v>101</v>
      </c>
      <c r="B26" s="24" t="s">
        <v>481</v>
      </c>
      <c r="C26" s="24" t="s">
        <v>482</v>
      </c>
      <c r="D26" s="24" t="s">
        <v>483</v>
      </c>
      <c r="E26" s="24">
        <v>2008</v>
      </c>
      <c r="F26" s="24">
        <v>2009</v>
      </c>
      <c r="G26" s="24" t="s">
        <v>484</v>
      </c>
    </row>
    <row r="27" spans="1:13">
      <c r="A27" s="75" t="s">
        <v>485</v>
      </c>
      <c r="B27" s="75"/>
      <c r="C27" s="75"/>
      <c r="D27" s="75"/>
      <c r="E27" s="75"/>
      <c r="F27" s="75"/>
      <c r="G27" s="75"/>
    </row>
    <row r="28" spans="1:13">
      <c r="A28" s="76" t="s">
        <v>486</v>
      </c>
      <c r="B28" s="76"/>
      <c r="C28" s="76"/>
      <c r="D28" s="76"/>
      <c r="E28" s="76"/>
      <c r="F28" s="76"/>
      <c r="G28" s="76"/>
    </row>
    <row r="29" spans="1:13" ht="15">
      <c r="A29" s="24" t="s">
        <v>95</v>
      </c>
      <c r="B29" s="14" t="s">
        <v>111</v>
      </c>
      <c r="C29" s="24">
        <v>100.43</v>
      </c>
      <c r="D29" s="24">
        <v>80.56</v>
      </c>
      <c r="E29" s="24">
        <v>85.3</v>
      </c>
      <c r="F29" s="24">
        <v>80.38</v>
      </c>
      <c r="G29" s="24">
        <v>76</v>
      </c>
    </row>
    <row r="30" spans="1:13" ht="15">
      <c r="A30" s="24" t="s">
        <v>96</v>
      </c>
      <c r="B30" s="14" t="s">
        <v>111</v>
      </c>
      <c r="C30" s="24">
        <v>334.75</v>
      </c>
      <c r="D30" s="24">
        <v>256.33999999999997</v>
      </c>
      <c r="E30" s="24">
        <v>266.5</v>
      </c>
      <c r="F30" s="24">
        <v>252.53</v>
      </c>
      <c r="G30" s="24">
        <v>250</v>
      </c>
    </row>
    <row r="31" spans="1:13" ht="24">
      <c r="A31" s="24" t="s">
        <v>97</v>
      </c>
      <c r="B31" s="14" t="s">
        <v>111</v>
      </c>
      <c r="C31" s="24">
        <v>3.13</v>
      </c>
      <c r="D31" s="24">
        <v>12.73</v>
      </c>
      <c r="E31" s="24">
        <v>11.35</v>
      </c>
      <c r="F31" s="24">
        <v>14.04</v>
      </c>
      <c r="G31" s="24">
        <v>12.8</v>
      </c>
    </row>
    <row r="32" spans="1:13">
      <c r="A32" s="76" t="s">
        <v>361</v>
      </c>
      <c r="B32" s="76"/>
      <c r="C32" s="76"/>
      <c r="D32" s="76"/>
      <c r="E32" s="76"/>
      <c r="F32" s="76"/>
      <c r="G32" s="76"/>
    </row>
    <row r="33" spans="1:7" ht="15">
      <c r="A33" s="24" t="s">
        <v>98</v>
      </c>
      <c r="B33" s="14" t="s">
        <v>111</v>
      </c>
      <c r="C33" s="24">
        <v>54.05</v>
      </c>
      <c r="D33" s="24">
        <v>30.07</v>
      </c>
      <c r="E33" s="24">
        <v>40</v>
      </c>
      <c r="F33" s="24">
        <v>40</v>
      </c>
      <c r="G33" s="24">
        <v>10.199999999999999</v>
      </c>
    </row>
    <row r="34" spans="1:7">
      <c r="A34" s="75" t="s">
        <v>434</v>
      </c>
      <c r="B34" s="75"/>
      <c r="C34" s="75"/>
      <c r="D34" s="75"/>
      <c r="E34" s="75"/>
      <c r="F34" s="75"/>
      <c r="G34" s="75"/>
    </row>
    <row r="35" spans="1:7">
      <c r="A35" s="76" t="s">
        <v>435</v>
      </c>
      <c r="B35" s="76"/>
      <c r="C35" s="76"/>
      <c r="D35" s="76"/>
      <c r="E35" s="76"/>
      <c r="F35" s="76"/>
      <c r="G35" s="76"/>
    </row>
    <row r="36" spans="1:7" ht="15">
      <c r="A36" s="24" t="s">
        <v>99</v>
      </c>
      <c r="B36" s="14" t="s">
        <v>111</v>
      </c>
      <c r="C36" s="24">
        <v>12.02</v>
      </c>
      <c r="D36" s="24">
        <v>7.25</v>
      </c>
      <c r="E36" s="24">
        <v>2.92</v>
      </c>
      <c r="F36" s="24">
        <v>6.34</v>
      </c>
      <c r="G36" s="24">
        <v>12.5</v>
      </c>
    </row>
    <row r="37" spans="1:7">
      <c r="A37" s="75" t="s">
        <v>347</v>
      </c>
      <c r="B37" s="75"/>
      <c r="C37" s="75"/>
      <c r="D37" s="75"/>
      <c r="E37" s="75"/>
      <c r="F37" s="75"/>
      <c r="G37" s="75"/>
    </row>
    <row r="38" spans="1:7" ht="15">
      <c r="A38" s="24" t="s">
        <v>100</v>
      </c>
      <c r="B38" s="14" t="s">
        <v>111</v>
      </c>
      <c r="C38" s="24">
        <v>155.06</v>
      </c>
      <c r="D38" s="24">
        <v>322.05</v>
      </c>
      <c r="E38" s="24">
        <v>302.55</v>
      </c>
      <c r="F38" s="24">
        <v>328</v>
      </c>
      <c r="G38" s="24">
        <v>335.6</v>
      </c>
    </row>
    <row r="41" spans="1:7">
      <c r="A41" s="5" t="s">
        <v>112</v>
      </c>
    </row>
    <row r="42" spans="1:7">
      <c r="A42" s="1" t="s">
        <v>334</v>
      </c>
      <c r="B42" s="1" t="s">
        <v>481</v>
      </c>
      <c r="C42" s="1" t="s">
        <v>482</v>
      </c>
      <c r="D42" s="1" t="s">
        <v>483</v>
      </c>
      <c r="E42" s="1">
        <v>2008</v>
      </c>
      <c r="F42" s="1">
        <v>2009</v>
      </c>
      <c r="G42" s="1" t="s">
        <v>484</v>
      </c>
    </row>
    <row r="43" spans="1:7">
      <c r="A43" s="72" t="s">
        <v>324</v>
      </c>
      <c r="B43" s="72"/>
      <c r="C43" s="72"/>
      <c r="D43" s="72"/>
      <c r="E43" s="72"/>
      <c r="F43" s="72"/>
      <c r="G43" s="72"/>
    </row>
    <row r="44" spans="1:7">
      <c r="A44" s="72" t="s">
        <v>434</v>
      </c>
      <c r="B44" s="72"/>
      <c r="C44" s="72"/>
      <c r="D44" s="72"/>
      <c r="E44" s="72"/>
      <c r="F44" s="72"/>
      <c r="G44" s="72"/>
    </row>
    <row r="45" spans="1:7">
      <c r="A45" s="73" t="s">
        <v>435</v>
      </c>
      <c r="B45" s="73"/>
      <c r="C45" s="73"/>
      <c r="D45" s="73"/>
      <c r="E45" s="73"/>
      <c r="F45" s="73"/>
      <c r="G45" s="73"/>
    </row>
    <row r="46" spans="1:7">
      <c r="A46" s="1" t="s">
        <v>103</v>
      </c>
      <c r="B46" s="1" t="s">
        <v>311</v>
      </c>
      <c r="C46" s="1">
        <v>733.27</v>
      </c>
      <c r="D46" s="1">
        <v>621.92999999999995</v>
      </c>
      <c r="E46" s="1">
        <v>634.29999999999995</v>
      </c>
      <c r="F46" s="1">
        <v>641.9</v>
      </c>
      <c r="G46" s="1">
        <v>589.58000000000004</v>
      </c>
    </row>
    <row r="47" spans="1:7">
      <c r="A47" s="1" t="s">
        <v>104</v>
      </c>
      <c r="B47" s="1" t="s">
        <v>311</v>
      </c>
      <c r="C47" s="1">
        <v>670.1</v>
      </c>
      <c r="D47" s="1">
        <v>952.04</v>
      </c>
      <c r="E47" s="1">
        <v>660.79</v>
      </c>
      <c r="F47" s="1">
        <v>827.33</v>
      </c>
      <c r="G47" s="1">
        <v>1368</v>
      </c>
    </row>
    <row r="48" spans="1:7">
      <c r="A48" s="72" t="s">
        <v>349</v>
      </c>
      <c r="B48" s="72"/>
      <c r="C48" s="72"/>
      <c r="D48" s="72"/>
      <c r="E48" s="72"/>
      <c r="F48" s="72"/>
      <c r="G48" s="72"/>
    </row>
  </sheetData>
  <mergeCells count="11">
    <mergeCell ref="I1:J1"/>
    <mergeCell ref="A43:G43"/>
    <mergeCell ref="A44:G44"/>
    <mergeCell ref="A45:G45"/>
    <mergeCell ref="A48:G48"/>
    <mergeCell ref="A27:G27"/>
    <mergeCell ref="A28:G28"/>
    <mergeCell ref="A32:G32"/>
    <mergeCell ref="A34:G34"/>
    <mergeCell ref="A35:G35"/>
    <mergeCell ref="A37:G37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C1" workbookViewId="0">
      <selection activeCell="H17" sqref="H17"/>
    </sheetView>
  </sheetViews>
  <sheetFormatPr baseColWidth="10" defaultRowHeight="13" x14ac:dyDescent="0"/>
  <cols>
    <col min="1" max="1" width="40.28515625" customWidth="1"/>
    <col min="8" max="8" width="11.28515625" style="16" customWidth="1"/>
  </cols>
  <sheetData>
    <row r="1" spans="1:13">
      <c r="A1" s="5" t="s">
        <v>527</v>
      </c>
      <c r="I1" s="74" t="s">
        <v>461</v>
      </c>
      <c r="J1" s="74"/>
    </row>
    <row r="2" spans="1:13">
      <c r="A2" s="6"/>
      <c r="C2" s="2" t="s">
        <v>482</v>
      </c>
      <c r="D2" s="2" t="s">
        <v>483</v>
      </c>
      <c r="E2" s="2">
        <v>2008</v>
      </c>
      <c r="F2" s="2">
        <v>2009</v>
      </c>
      <c r="G2" s="2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s="8" t="s">
        <v>402</v>
      </c>
      <c r="I3" s="44">
        <f>C3*0.115009</f>
        <v>0</v>
      </c>
      <c r="J3" s="44">
        <f>D3*0.149038</f>
        <v>0</v>
      </c>
      <c r="K3" s="44">
        <f>E3*0.126952</f>
        <v>0</v>
      </c>
      <c r="L3" s="44">
        <f>F3*0.140519</f>
        <v>0</v>
      </c>
      <c r="M3" s="44">
        <f>G3*0.149038</f>
        <v>0</v>
      </c>
    </row>
    <row r="4" spans="1:13">
      <c r="A4" s="8" t="s">
        <v>403</v>
      </c>
      <c r="C4">
        <f>C30+C31+C32+C33</f>
        <v>0</v>
      </c>
      <c r="D4">
        <f t="shared" ref="D4:G4" si="0">D30+D31+D32+D33</f>
        <v>3547.76</v>
      </c>
      <c r="E4">
        <f t="shared" si="0"/>
        <v>4235.7900000000009</v>
      </c>
      <c r="F4">
        <f t="shared" si="0"/>
        <v>3807.73</v>
      </c>
      <c r="G4">
        <f t="shared" si="0"/>
        <v>2599.79</v>
      </c>
      <c r="I4" s="44">
        <f t="shared" ref="I4:I21" si="1">C4*0.115009</f>
        <v>0</v>
      </c>
      <c r="J4" s="44">
        <f t="shared" ref="J4:J21" si="2">D4*0.149038</f>
        <v>528.75105488000008</v>
      </c>
      <c r="K4" s="44">
        <f t="shared" ref="K4:K21" si="3">E4*0.126952</f>
        <v>537.74201208000011</v>
      </c>
      <c r="L4" s="44">
        <f t="shared" ref="L4:L21" si="4">F4*0.140519</f>
        <v>535.05841186999999</v>
      </c>
      <c r="M4" s="44">
        <f t="shared" ref="M4:M21" si="5">G4*0.149038</f>
        <v>387.46750201999998</v>
      </c>
    </row>
    <row r="5" spans="1:13">
      <c r="A5" s="8" t="s">
        <v>404</v>
      </c>
      <c r="I5" s="44">
        <f t="shared" si="1"/>
        <v>0</v>
      </c>
      <c r="J5" s="44">
        <f t="shared" si="2"/>
        <v>0</v>
      </c>
      <c r="K5" s="44">
        <f t="shared" si="3"/>
        <v>0</v>
      </c>
      <c r="L5" s="44">
        <f t="shared" si="4"/>
        <v>0</v>
      </c>
      <c r="M5" s="44">
        <f t="shared" si="5"/>
        <v>0</v>
      </c>
    </row>
    <row r="6" spans="1:13">
      <c r="A6" s="8" t="s">
        <v>405</v>
      </c>
      <c r="C6">
        <f>SUM(C3:C5)</f>
        <v>0</v>
      </c>
      <c r="D6">
        <f t="shared" ref="D6:G6" si="6">SUM(D3:D5)</f>
        <v>3547.76</v>
      </c>
      <c r="E6">
        <f t="shared" si="6"/>
        <v>4235.7900000000009</v>
      </c>
      <c r="F6">
        <f t="shared" si="6"/>
        <v>3807.73</v>
      </c>
      <c r="G6">
        <f t="shared" si="6"/>
        <v>2599.79</v>
      </c>
      <c r="I6" s="44">
        <f t="shared" si="1"/>
        <v>0</v>
      </c>
      <c r="J6" s="44">
        <f t="shared" si="2"/>
        <v>528.75105488000008</v>
      </c>
      <c r="K6" s="44">
        <f t="shared" si="3"/>
        <v>537.74201208000011</v>
      </c>
      <c r="L6" s="44">
        <f t="shared" si="4"/>
        <v>535.05841186999999</v>
      </c>
      <c r="M6" s="44">
        <f t="shared" si="5"/>
        <v>387.46750201999998</v>
      </c>
    </row>
    <row r="7" spans="1:13">
      <c r="A7" s="8"/>
      <c r="I7" s="44"/>
      <c r="J7" s="44"/>
      <c r="K7" s="44"/>
      <c r="L7" s="44"/>
      <c r="M7" s="44"/>
    </row>
    <row r="8" spans="1:13">
      <c r="A8" s="8" t="s">
        <v>406</v>
      </c>
      <c r="I8" s="44">
        <f t="shared" si="1"/>
        <v>0</v>
      </c>
      <c r="J8" s="44">
        <f t="shared" si="2"/>
        <v>0</v>
      </c>
      <c r="K8" s="44">
        <f t="shared" si="3"/>
        <v>0</v>
      </c>
      <c r="L8" s="44">
        <f t="shared" si="4"/>
        <v>0</v>
      </c>
      <c r="M8" s="44">
        <f t="shared" si="5"/>
        <v>0</v>
      </c>
    </row>
    <row r="9" spans="1:13">
      <c r="A9" s="8" t="s">
        <v>313</v>
      </c>
      <c r="C9">
        <f>C42+C43+C44+C45+C46+C47+C48+C49+C50+C51+C52+C53+C54+C55+C56</f>
        <v>0</v>
      </c>
      <c r="D9">
        <f t="shared" ref="D9:G9" si="7">D42+D43+D44+D45+D46+D47+D48+D49+D50+D51+D52+D53+D54+D55+D56</f>
        <v>18122.04</v>
      </c>
      <c r="E9">
        <f t="shared" si="7"/>
        <v>18793.379999999997</v>
      </c>
      <c r="F9">
        <f t="shared" si="7"/>
        <v>17398.38</v>
      </c>
      <c r="G9">
        <f t="shared" si="7"/>
        <v>18174.339999999997</v>
      </c>
      <c r="I9" s="44">
        <f t="shared" si="1"/>
        <v>0</v>
      </c>
      <c r="J9" s="44">
        <f t="shared" si="2"/>
        <v>2700.87259752</v>
      </c>
      <c r="K9" s="44">
        <f t="shared" si="3"/>
        <v>2385.85717776</v>
      </c>
      <c r="L9" s="44">
        <f t="shared" si="4"/>
        <v>2444.80295922</v>
      </c>
      <c r="M9" s="44">
        <f t="shared" si="5"/>
        <v>2708.6672849199995</v>
      </c>
    </row>
    <row r="10" spans="1:13">
      <c r="A10" s="8" t="s">
        <v>314</v>
      </c>
      <c r="I10" s="44">
        <f t="shared" si="1"/>
        <v>0</v>
      </c>
      <c r="J10" s="44">
        <f t="shared" si="2"/>
        <v>0</v>
      </c>
      <c r="K10" s="44">
        <f t="shared" si="3"/>
        <v>0</v>
      </c>
      <c r="L10" s="44">
        <f t="shared" si="4"/>
        <v>0</v>
      </c>
      <c r="M10" s="44">
        <f t="shared" si="5"/>
        <v>0</v>
      </c>
    </row>
    <row r="11" spans="1:13">
      <c r="A11" s="8" t="s">
        <v>315</v>
      </c>
      <c r="C11">
        <f>SUM(C8:C10)</f>
        <v>0</v>
      </c>
      <c r="D11">
        <f t="shared" ref="D11:G11" si="8">SUM(D8:D10)</f>
        <v>18122.04</v>
      </c>
      <c r="E11">
        <f t="shared" si="8"/>
        <v>18793.379999999997</v>
      </c>
      <c r="F11">
        <f t="shared" si="8"/>
        <v>17398.38</v>
      </c>
      <c r="G11">
        <f t="shared" si="8"/>
        <v>18174.339999999997</v>
      </c>
      <c r="I11" s="44">
        <f t="shared" si="1"/>
        <v>0</v>
      </c>
      <c r="J11" s="44">
        <f t="shared" si="2"/>
        <v>2700.87259752</v>
      </c>
      <c r="K11" s="44">
        <f t="shared" si="3"/>
        <v>2385.85717776</v>
      </c>
      <c r="L11" s="44">
        <f t="shared" si="4"/>
        <v>2444.80295922</v>
      </c>
      <c r="M11" s="44">
        <f t="shared" si="5"/>
        <v>2708.6672849199995</v>
      </c>
    </row>
    <row r="12" spans="1:13">
      <c r="A12" s="8"/>
      <c r="I12" s="44"/>
      <c r="J12" s="44"/>
      <c r="K12" s="44"/>
      <c r="L12" s="44"/>
      <c r="M12" s="44"/>
    </row>
    <row r="13" spans="1:13">
      <c r="A13" s="8" t="s">
        <v>316</v>
      </c>
      <c r="I13" s="44">
        <f t="shared" si="1"/>
        <v>0</v>
      </c>
      <c r="J13" s="44">
        <f t="shared" si="2"/>
        <v>0</v>
      </c>
      <c r="K13" s="44">
        <f t="shared" si="3"/>
        <v>0</v>
      </c>
      <c r="L13" s="44">
        <f t="shared" si="4"/>
        <v>0</v>
      </c>
      <c r="M13" s="44">
        <f t="shared" si="5"/>
        <v>0</v>
      </c>
    </row>
    <row r="14" spans="1:13">
      <c r="A14" s="8" t="s">
        <v>317</v>
      </c>
      <c r="C14">
        <f>C65+C66+C67+C68+C69+C70+C71+C72</f>
        <v>0</v>
      </c>
      <c r="D14">
        <f t="shared" ref="D14:G14" si="9">D65+D66+D67+D68+D69+D70+D71+D72</f>
        <v>2473.5300000000002</v>
      </c>
      <c r="E14">
        <f t="shared" si="9"/>
        <v>3030.83</v>
      </c>
      <c r="F14">
        <f t="shared" si="9"/>
        <v>2783.8900000000003</v>
      </c>
      <c r="G14">
        <f t="shared" si="9"/>
        <v>1605.8700000000001</v>
      </c>
      <c r="I14" s="44">
        <f t="shared" si="1"/>
        <v>0</v>
      </c>
      <c r="J14" s="44">
        <f t="shared" si="2"/>
        <v>368.64996414000007</v>
      </c>
      <c r="K14" s="44">
        <f t="shared" si="3"/>
        <v>384.76993016</v>
      </c>
      <c r="L14" s="44">
        <f t="shared" si="4"/>
        <v>391.18943891000004</v>
      </c>
      <c r="M14" s="44">
        <f t="shared" si="5"/>
        <v>239.33565306000003</v>
      </c>
    </row>
    <row r="15" spans="1:13">
      <c r="A15" s="8" t="s">
        <v>318</v>
      </c>
      <c r="I15" s="44">
        <f t="shared" si="1"/>
        <v>0</v>
      </c>
      <c r="J15" s="44">
        <f t="shared" si="2"/>
        <v>0</v>
      </c>
      <c r="K15" s="44">
        <f t="shared" si="3"/>
        <v>0</v>
      </c>
      <c r="L15" s="44">
        <f t="shared" si="4"/>
        <v>0</v>
      </c>
      <c r="M15" s="44">
        <f t="shared" si="5"/>
        <v>0</v>
      </c>
    </row>
    <row r="16" spans="1:13">
      <c r="A16" s="8" t="s">
        <v>319</v>
      </c>
      <c r="C16">
        <f>SUM(C13:C15)</f>
        <v>0</v>
      </c>
      <c r="D16">
        <f t="shared" ref="D16:G16" si="10">SUM(D13:D15)</f>
        <v>2473.5300000000002</v>
      </c>
      <c r="E16">
        <f t="shared" si="10"/>
        <v>3030.83</v>
      </c>
      <c r="F16">
        <f t="shared" si="10"/>
        <v>2783.8900000000003</v>
      </c>
      <c r="G16">
        <f t="shared" si="10"/>
        <v>1605.8700000000001</v>
      </c>
      <c r="I16" s="44">
        <f t="shared" si="1"/>
        <v>0</v>
      </c>
      <c r="J16" s="44">
        <f t="shared" si="2"/>
        <v>368.64996414000007</v>
      </c>
      <c r="K16" s="44">
        <f t="shared" si="3"/>
        <v>384.76993016</v>
      </c>
      <c r="L16" s="44">
        <f t="shared" si="4"/>
        <v>391.18943891000004</v>
      </c>
      <c r="M16" s="44">
        <f t="shared" si="5"/>
        <v>239.33565306000003</v>
      </c>
    </row>
    <row r="17" spans="1:13">
      <c r="A17" s="8"/>
      <c r="I17" s="44"/>
      <c r="J17" s="44"/>
      <c r="K17" s="44"/>
      <c r="L17" s="44"/>
      <c r="M17" s="44"/>
    </row>
    <row r="18" spans="1:13">
      <c r="A18" s="8" t="s">
        <v>320</v>
      </c>
      <c r="C18" s="8">
        <f>C3+C8+C13</f>
        <v>0</v>
      </c>
      <c r="D18" s="8">
        <f>D3+D8+D13</f>
        <v>0</v>
      </c>
      <c r="E18" s="8">
        <f t="shared" ref="D18:G20" si="11">E3+E8+E13</f>
        <v>0</v>
      </c>
      <c r="F18" s="8">
        <f t="shared" si="11"/>
        <v>0</v>
      </c>
      <c r="G18" s="8">
        <f>G3+G8+G13</f>
        <v>0</v>
      </c>
      <c r="I18" s="44">
        <f t="shared" si="1"/>
        <v>0</v>
      </c>
      <c r="J18" s="44">
        <f t="shared" si="2"/>
        <v>0</v>
      </c>
      <c r="K18" s="44">
        <f t="shared" si="3"/>
        <v>0</v>
      </c>
      <c r="L18" s="44">
        <f t="shared" si="4"/>
        <v>0</v>
      </c>
      <c r="M18" s="44">
        <f t="shared" si="5"/>
        <v>0</v>
      </c>
    </row>
    <row r="19" spans="1:13">
      <c r="A19" s="8" t="s">
        <v>321</v>
      </c>
      <c r="C19" s="8">
        <f>C4+C9+C14</f>
        <v>0</v>
      </c>
      <c r="D19" s="8">
        <f>D4+D9+D14</f>
        <v>24143.33</v>
      </c>
      <c r="E19" s="8">
        <f t="shared" si="11"/>
        <v>26060</v>
      </c>
      <c r="F19" s="8">
        <f t="shared" si="11"/>
        <v>23990</v>
      </c>
      <c r="G19" s="8">
        <f>G4+G9+G14</f>
        <v>22379.999999999996</v>
      </c>
      <c r="I19" s="44">
        <f t="shared" si="1"/>
        <v>0</v>
      </c>
      <c r="J19" s="44">
        <f t="shared" si="2"/>
        <v>3598.2736165400001</v>
      </c>
      <c r="K19" s="44">
        <f t="shared" si="3"/>
        <v>3308.3691200000003</v>
      </c>
      <c r="L19" s="44">
        <f t="shared" si="4"/>
        <v>3371.0508100000002</v>
      </c>
      <c r="M19" s="44">
        <f t="shared" si="5"/>
        <v>3335.4704399999996</v>
      </c>
    </row>
    <row r="20" spans="1:13">
      <c r="A20" s="8" t="s">
        <v>322</v>
      </c>
      <c r="C20" s="8">
        <f>C5+C10+C15</f>
        <v>0</v>
      </c>
      <c r="D20" s="8">
        <f t="shared" si="11"/>
        <v>0</v>
      </c>
      <c r="E20" s="8">
        <f t="shared" si="11"/>
        <v>0</v>
      </c>
      <c r="F20" s="8">
        <f t="shared" si="11"/>
        <v>0</v>
      </c>
      <c r="G20" s="8">
        <f t="shared" si="11"/>
        <v>0</v>
      </c>
      <c r="I20" s="44">
        <f t="shared" si="1"/>
        <v>0</v>
      </c>
      <c r="J20" s="44">
        <f t="shared" si="2"/>
        <v>0</v>
      </c>
      <c r="K20" s="44">
        <f t="shared" si="3"/>
        <v>0</v>
      </c>
      <c r="L20" s="44">
        <f t="shared" si="4"/>
        <v>0</v>
      </c>
      <c r="M20" s="44">
        <f t="shared" si="5"/>
        <v>0</v>
      </c>
    </row>
    <row r="21" spans="1:13">
      <c r="A21" s="8" t="s">
        <v>526</v>
      </c>
      <c r="C21" s="8">
        <f>SUM(C18:C20)</f>
        <v>0</v>
      </c>
      <c r="D21" s="8">
        <f t="shared" ref="D21:F21" si="12">SUM(D18:D20)</f>
        <v>24143.33</v>
      </c>
      <c r="E21" s="8">
        <f t="shared" si="12"/>
        <v>26060</v>
      </c>
      <c r="F21" s="8">
        <f t="shared" si="12"/>
        <v>23990</v>
      </c>
      <c r="G21" s="8">
        <f>SUM(G18:G20)</f>
        <v>22379.999999999996</v>
      </c>
      <c r="I21" s="44">
        <f t="shared" si="1"/>
        <v>0</v>
      </c>
      <c r="J21" s="44">
        <f t="shared" si="2"/>
        <v>3598.2736165400001</v>
      </c>
      <c r="K21" s="44">
        <f t="shared" si="3"/>
        <v>3308.3691200000003</v>
      </c>
      <c r="L21" s="44">
        <f t="shared" si="4"/>
        <v>3371.0508100000002</v>
      </c>
      <c r="M21" s="44">
        <f t="shared" si="5"/>
        <v>3335.4704399999996</v>
      </c>
    </row>
    <row r="22" spans="1:13">
      <c r="J22" s="44"/>
    </row>
    <row r="23" spans="1:13">
      <c r="J23" s="44"/>
    </row>
    <row r="24" spans="1:13">
      <c r="J24" s="44"/>
    </row>
    <row r="25" spans="1:13">
      <c r="A25" s="5" t="s">
        <v>0</v>
      </c>
    </row>
    <row r="26" spans="1:13" ht="15">
      <c r="A26" s="1" t="s">
        <v>331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324</v>
      </c>
      <c r="B27" s="28"/>
      <c r="C27" s="28"/>
      <c r="D27" s="28"/>
      <c r="E27" s="28"/>
      <c r="F27" s="28"/>
      <c r="G27" s="28"/>
      <c r="H27" s="28"/>
    </row>
    <row r="28" spans="1:13">
      <c r="A28" s="28" t="s">
        <v>434</v>
      </c>
      <c r="B28" s="28"/>
      <c r="C28" s="28"/>
      <c r="D28" s="28"/>
      <c r="E28" s="28"/>
      <c r="F28" s="28"/>
      <c r="G28" s="28"/>
      <c r="H28" s="28"/>
    </row>
    <row r="29" spans="1:13">
      <c r="A29" s="27" t="s">
        <v>435</v>
      </c>
      <c r="B29" s="27"/>
      <c r="C29" s="27"/>
      <c r="D29" s="27"/>
      <c r="E29" s="27"/>
      <c r="F29" s="27"/>
      <c r="G29" s="27"/>
      <c r="H29" s="27"/>
    </row>
    <row r="30" spans="1:13" ht="15">
      <c r="A30" s="1" t="s">
        <v>113</v>
      </c>
      <c r="B30" s="1" t="s">
        <v>311</v>
      </c>
      <c r="C30" s="1">
        <v>0</v>
      </c>
      <c r="D30" s="1">
        <v>366.14</v>
      </c>
      <c r="E30" s="1">
        <v>428.09</v>
      </c>
      <c r="F30" s="1">
        <v>361.72</v>
      </c>
      <c r="G30" s="1">
        <v>308.62</v>
      </c>
      <c r="H30" s="29" t="s">
        <v>528</v>
      </c>
    </row>
    <row r="31" spans="1:13" ht="15">
      <c r="A31" s="1" t="s">
        <v>114</v>
      </c>
      <c r="B31" s="1" t="s">
        <v>311</v>
      </c>
      <c r="C31" s="1">
        <v>0</v>
      </c>
      <c r="D31" s="1">
        <v>1316.34</v>
      </c>
      <c r="E31" s="1">
        <v>1898.19</v>
      </c>
      <c r="F31" s="1">
        <v>1602.84</v>
      </c>
      <c r="G31" s="1">
        <v>448</v>
      </c>
      <c r="H31" s="29" t="s">
        <v>528</v>
      </c>
    </row>
    <row r="32" spans="1:13" ht="15">
      <c r="A32" s="1" t="s">
        <v>115</v>
      </c>
      <c r="B32" s="1" t="s">
        <v>311</v>
      </c>
      <c r="C32" s="1">
        <v>0</v>
      </c>
      <c r="D32" s="1">
        <v>5.28</v>
      </c>
      <c r="E32" s="1">
        <v>9.51</v>
      </c>
      <c r="F32" s="1">
        <v>3.17</v>
      </c>
      <c r="G32" s="1">
        <v>3.17</v>
      </c>
      <c r="H32" s="29" t="s">
        <v>528</v>
      </c>
    </row>
    <row r="33" spans="1:8" ht="15">
      <c r="A33" s="1" t="s">
        <v>116</v>
      </c>
      <c r="B33" s="1" t="s">
        <v>311</v>
      </c>
      <c r="C33" s="1">
        <v>0</v>
      </c>
      <c r="D33" s="1">
        <v>1860</v>
      </c>
      <c r="E33" s="1">
        <v>1900</v>
      </c>
      <c r="F33" s="1">
        <v>1840</v>
      </c>
      <c r="G33" s="1">
        <v>1840</v>
      </c>
      <c r="H33" s="29" t="s">
        <v>528</v>
      </c>
    </row>
    <row r="34" spans="1:8">
      <c r="A34" s="28" t="s">
        <v>349</v>
      </c>
      <c r="B34" s="28"/>
      <c r="C34" s="28"/>
      <c r="D34" s="28"/>
      <c r="E34" s="28"/>
      <c r="F34" s="28"/>
      <c r="G34" s="28"/>
      <c r="H34" s="28"/>
    </row>
    <row r="37" spans="1:8">
      <c r="A37" s="5" t="s">
        <v>34</v>
      </c>
    </row>
    <row r="38" spans="1:8">
      <c r="A38" s="1" t="s">
        <v>33</v>
      </c>
      <c r="B38" s="1" t="s">
        <v>481</v>
      </c>
      <c r="C38" s="1" t="s">
        <v>482</v>
      </c>
      <c r="D38" s="1" t="s">
        <v>483</v>
      </c>
      <c r="E38" s="1">
        <v>2008</v>
      </c>
      <c r="F38" s="1">
        <v>2009</v>
      </c>
      <c r="G38" s="1" t="s">
        <v>484</v>
      </c>
    </row>
    <row r="39" spans="1:8">
      <c r="A39" s="72" t="s">
        <v>324</v>
      </c>
      <c r="B39" s="72"/>
      <c r="C39" s="72"/>
      <c r="D39" s="72"/>
      <c r="E39" s="72"/>
      <c r="F39" s="72"/>
      <c r="G39" s="72"/>
    </row>
    <row r="40" spans="1:8">
      <c r="A40" s="72" t="s">
        <v>434</v>
      </c>
      <c r="B40" s="72"/>
      <c r="C40" s="72"/>
      <c r="D40" s="72"/>
      <c r="E40" s="72"/>
      <c r="F40" s="72"/>
      <c r="G40" s="72"/>
    </row>
    <row r="41" spans="1:8">
      <c r="A41" s="73" t="s">
        <v>435</v>
      </c>
      <c r="B41" s="73"/>
      <c r="C41" s="73"/>
      <c r="D41" s="73"/>
      <c r="E41" s="73"/>
      <c r="F41" s="73"/>
      <c r="G41" s="73"/>
    </row>
    <row r="42" spans="1:8" ht="15">
      <c r="A42" s="1" t="s">
        <v>1</v>
      </c>
      <c r="B42" s="1" t="s">
        <v>311</v>
      </c>
      <c r="C42" s="1">
        <v>0</v>
      </c>
      <c r="D42" s="1">
        <v>11386.67</v>
      </c>
      <c r="E42" s="1">
        <v>11300</v>
      </c>
      <c r="F42" s="1">
        <v>10830</v>
      </c>
      <c r="G42" s="1">
        <v>12030</v>
      </c>
      <c r="H42" s="29" t="s">
        <v>528</v>
      </c>
    </row>
    <row r="43" spans="1:8" ht="15">
      <c r="A43" s="1" t="s">
        <v>74</v>
      </c>
      <c r="B43" s="1" t="s">
        <v>311</v>
      </c>
      <c r="C43" s="1">
        <v>0</v>
      </c>
      <c r="D43" s="1">
        <v>30</v>
      </c>
      <c r="E43" s="1">
        <v>30</v>
      </c>
      <c r="F43" s="1">
        <v>30</v>
      </c>
      <c r="G43" s="1">
        <v>30</v>
      </c>
      <c r="H43" s="29" t="s">
        <v>528</v>
      </c>
    </row>
    <row r="44" spans="1:8" ht="15">
      <c r="A44" s="1" t="s">
        <v>75</v>
      </c>
      <c r="B44" s="1" t="s">
        <v>311</v>
      </c>
      <c r="C44" s="1">
        <v>0</v>
      </c>
      <c r="D44" s="1">
        <v>550</v>
      </c>
      <c r="E44" s="1">
        <v>610</v>
      </c>
      <c r="F44" s="1">
        <v>350</v>
      </c>
      <c r="G44" s="1">
        <v>690</v>
      </c>
      <c r="H44" s="29" t="s">
        <v>528</v>
      </c>
    </row>
    <row r="45" spans="1:8" ht="15">
      <c r="A45" s="1" t="s">
        <v>76</v>
      </c>
      <c r="B45" s="1" t="s">
        <v>311</v>
      </c>
      <c r="C45" s="1">
        <v>0</v>
      </c>
      <c r="D45" s="1">
        <v>1043.33</v>
      </c>
      <c r="E45" s="1">
        <v>1070</v>
      </c>
      <c r="F45" s="1">
        <v>1010</v>
      </c>
      <c r="G45" s="1">
        <v>1050</v>
      </c>
      <c r="H45" s="29" t="s">
        <v>528</v>
      </c>
    </row>
    <row r="46" spans="1:8" ht="15">
      <c r="A46" s="1" t="s">
        <v>77</v>
      </c>
      <c r="B46" s="1" t="s">
        <v>311</v>
      </c>
      <c r="C46" s="1">
        <v>0</v>
      </c>
      <c r="D46" s="1">
        <v>181.86</v>
      </c>
      <c r="E46" s="1">
        <v>149.41999999999999</v>
      </c>
      <c r="F46" s="1">
        <v>163.32</v>
      </c>
      <c r="G46" s="1">
        <v>232.82</v>
      </c>
      <c r="H46" s="29" t="s">
        <v>528</v>
      </c>
    </row>
    <row r="47" spans="1:8" ht="15">
      <c r="A47" s="1" t="s">
        <v>113</v>
      </c>
      <c r="B47" s="1" t="s">
        <v>311</v>
      </c>
      <c r="C47" s="1">
        <v>0</v>
      </c>
      <c r="D47" s="1">
        <v>357.35</v>
      </c>
      <c r="E47" s="1">
        <v>417.81</v>
      </c>
      <c r="F47" s="1">
        <v>353.03</v>
      </c>
      <c r="G47" s="1">
        <v>301.20999999999998</v>
      </c>
      <c r="H47" s="29" t="s">
        <v>528</v>
      </c>
    </row>
    <row r="48" spans="1:8" ht="15">
      <c r="A48" s="1" t="s">
        <v>78</v>
      </c>
      <c r="B48" s="1" t="s">
        <v>311</v>
      </c>
      <c r="C48" s="1">
        <v>0</v>
      </c>
      <c r="D48" s="1">
        <v>17.68</v>
      </c>
      <c r="E48" s="1">
        <v>18.079999999999998</v>
      </c>
      <c r="F48" s="1">
        <v>18.079999999999998</v>
      </c>
      <c r="G48" s="1">
        <v>16.88</v>
      </c>
      <c r="H48" s="29" t="s">
        <v>528</v>
      </c>
    </row>
    <row r="49" spans="1:8" ht="15">
      <c r="A49" s="1" t="s">
        <v>114</v>
      </c>
      <c r="B49" s="1" t="s">
        <v>311</v>
      </c>
      <c r="C49" s="1">
        <v>0</v>
      </c>
      <c r="D49" s="1">
        <v>1284.74</v>
      </c>
      <c r="E49" s="1">
        <v>1852.62</v>
      </c>
      <c r="F49" s="1">
        <v>1564.36</v>
      </c>
      <c r="G49" s="1">
        <v>437.24</v>
      </c>
      <c r="H49" s="29" t="s">
        <v>528</v>
      </c>
    </row>
    <row r="50" spans="1:8" ht="15">
      <c r="A50" s="1" t="s">
        <v>115</v>
      </c>
      <c r="B50" s="1" t="s">
        <v>311</v>
      </c>
      <c r="C50" s="1">
        <v>0</v>
      </c>
      <c r="D50" s="1">
        <v>11.39</v>
      </c>
      <c r="E50" s="1">
        <v>20.49</v>
      </c>
      <c r="F50" s="1">
        <v>6.83</v>
      </c>
      <c r="G50" s="1">
        <v>6.83</v>
      </c>
      <c r="H50" s="29" t="s">
        <v>528</v>
      </c>
    </row>
    <row r="51" spans="1:8" ht="15">
      <c r="A51" s="1" t="s">
        <v>79</v>
      </c>
      <c r="B51" s="1" t="s">
        <v>311</v>
      </c>
      <c r="C51" s="1">
        <v>0</v>
      </c>
      <c r="D51" s="1">
        <v>23.73</v>
      </c>
      <c r="E51" s="1">
        <v>17.8</v>
      </c>
      <c r="F51" s="1">
        <v>26.7</v>
      </c>
      <c r="G51" s="1">
        <v>26.7</v>
      </c>
      <c r="H51" s="29" t="s">
        <v>528</v>
      </c>
    </row>
    <row r="52" spans="1:8" ht="15">
      <c r="A52" s="1" t="s">
        <v>80</v>
      </c>
      <c r="B52" s="1" t="s">
        <v>311</v>
      </c>
      <c r="C52" s="1">
        <v>0</v>
      </c>
      <c r="D52" s="1">
        <v>415.29</v>
      </c>
      <c r="E52" s="1">
        <v>427.16</v>
      </c>
      <c r="F52" s="1">
        <v>436.06</v>
      </c>
      <c r="G52" s="1">
        <v>382.66</v>
      </c>
      <c r="H52" s="29" t="s">
        <v>528</v>
      </c>
    </row>
    <row r="53" spans="1:8" ht="15">
      <c r="A53" s="1" t="s">
        <v>81</v>
      </c>
      <c r="B53" s="1" t="s">
        <v>311</v>
      </c>
      <c r="C53" s="1">
        <v>0</v>
      </c>
      <c r="D53" s="1">
        <v>1346.67</v>
      </c>
      <c r="E53" s="1">
        <v>1330</v>
      </c>
      <c r="F53" s="1">
        <v>1350</v>
      </c>
      <c r="G53" s="1">
        <v>1360</v>
      </c>
      <c r="H53" s="29" t="s">
        <v>528</v>
      </c>
    </row>
    <row r="54" spans="1:8" ht="15">
      <c r="A54" s="1" t="s">
        <v>30</v>
      </c>
      <c r="B54" s="1" t="s">
        <v>311</v>
      </c>
      <c r="C54" s="1">
        <v>0</v>
      </c>
      <c r="D54" s="1">
        <v>20</v>
      </c>
      <c r="E54" s="1">
        <v>20</v>
      </c>
      <c r="F54" s="1">
        <v>20</v>
      </c>
      <c r="G54" s="1">
        <v>20</v>
      </c>
      <c r="H54" s="29" t="s">
        <v>528</v>
      </c>
    </row>
    <row r="55" spans="1:8" ht="15">
      <c r="A55" s="1" t="s">
        <v>31</v>
      </c>
      <c r="B55" s="1" t="s">
        <v>311</v>
      </c>
      <c r="C55" s="1">
        <v>0</v>
      </c>
      <c r="D55" s="1">
        <v>963.33</v>
      </c>
      <c r="E55" s="1">
        <v>990</v>
      </c>
      <c r="F55" s="1">
        <v>930</v>
      </c>
      <c r="G55" s="1">
        <v>970</v>
      </c>
      <c r="H55" s="29" t="s">
        <v>528</v>
      </c>
    </row>
    <row r="56" spans="1:8" ht="15">
      <c r="A56" s="1" t="s">
        <v>32</v>
      </c>
      <c r="B56" s="1" t="s">
        <v>311</v>
      </c>
      <c r="C56" s="1">
        <v>0</v>
      </c>
      <c r="D56" s="1">
        <v>490</v>
      </c>
      <c r="E56" s="1">
        <v>540</v>
      </c>
      <c r="F56" s="1">
        <v>310</v>
      </c>
      <c r="G56" s="1">
        <v>620</v>
      </c>
      <c r="H56" s="29" t="s">
        <v>528</v>
      </c>
    </row>
    <row r="57" spans="1:8">
      <c r="A57" s="72" t="s">
        <v>349</v>
      </c>
      <c r="B57" s="72"/>
      <c r="C57" s="72"/>
      <c r="D57" s="72"/>
      <c r="E57" s="72"/>
      <c r="F57" s="72"/>
      <c r="G57" s="72"/>
    </row>
    <row r="60" spans="1:8">
      <c r="A60" s="3" t="s">
        <v>49</v>
      </c>
    </row>
    <row r="61" spans="1:8">
      <c r="A61" s="1" t="s">
        <v>33</v>
      </c>
      <c r="B61" s="1" t="s">
        <v>481</v>
      </c>
      <c r="C61" s="1" t="s">
        <v>482</v>
      </c>
      <c r="D61" s="1" t="s">
        <v>483</v>
      </c>
      <c r="E61" s="1">
        <v>2008</v>
      </c>
      <c r="F61" s="1">
        <v>2009</v>
      </c>
      <c r="G61" s="1" t="s">
        <v>484</v>
      </c>
    </row>
    <row r="62" spans="1:8">
      <c r="A62" s="72" t="s">
        <v>324</v>
      </c>
      <c r="B62" s="72"/>
      <c r="C62" s="72"/>
      <c r="D62" s="72"/>
      <c r="E62" s="72"/>
      <c r="F62" s="72"/>
      <c r="G62" s="72"/>
    </row>
    <row r="63" spans="1:8">
      <c r="A63" s="72" t="s">
        <v>434</v>
      </c>
      <c r="B63" s="72"/>
      <c r="C63" s="72"/>
      <c r="D63" s="72"/>
      <c r="E63" s="72"/>
      <c r="F63" s="72"/>
      <c r="G63" s="72"/>
    </row>
    <row r="64" spans="1:8">
      <c r="A64" s="73" t="s">
        <v>435</v>
      </c>
      <c r="B64" s="73"/>
      <c r="C64" s="73"/>
      <c r="D64" s="73"/>
      <c r="E64" s="73"/>
      <c r="F64" s="73"/>
      <c r="G64" s="73"/>
    </row>
    <row r="65" spans="1:8" ht="15">
      <c r="A65" s="1" t="s">
        <v>35</v>
      </c>
      <c r="B65" s="1" t="s">
        <v>311</v>
      </c>
      <c r="C65" s="1">
        <v>0</v>
      </c>
      <c r="D65" s="1">
        <v>163.33000000000001</v>
      </c>
      <c r="E65" s="1">
        <v>120</v>
      </c>
      <c r="F65" s="1">
        <v>200</v>
      </c>
      <c r="G65" s="1">
        <v>170</v>
      </c>
      <c r="H65" s="29" t="s">
        <v>528</v>
      </c>
    </row>
    <row r="66" spans="1:8" ht="15">
      <c r="A66" s="1" t="s">
        <v>77</v>
      </c>
      <c r="B66" s="1" t="s">
        <v>311</v>
      </c>
      <c r="C66" s="1">
        <v>0</v>
      </c>
      <c r="D66" s="1">
        <v>341.48</v>
      </c>
      <c r="E66" s="1">
        <v>280.58</v>
      </c>
      <c r="F66" s="1">
        <v>306.68</v>
      </c>
      <c r="G66" s="1">
        <v>437.18</v>
      </c>
      <c r="H66" s="29" t="s">
        <v>528</v>
      </c>
    </row>
    <row r="67" spans="1:8" ht="15">
      <c r="A67" s="1" t="s">
        <v>113</v>
      </c>
      <c r="B67" s="1" t="s">
        <v>311</v>
      </c>
      <c r="C67" s="1">
        <v>0</v>
      </c>
      <c r="D67" s="1">
        <v>379.84</v>
      </c>
      <c r="E67" s="1">
        <v>444.1</v>
      </c>
      <c r="F67" s="1">
        <v>375.25</v>
      </c>
      <c r="G67" s="1">
        <v>320.17</v>
      </c>
      <c r="H67" s="29" t="s">
        <v>528</v>
      </c>
    </row>
    <row r="68" spans="1:8" ht="15">
      <c r="A68" s="1" t="s">
        <v>78</v>
      </c>
      <c r="B68" s="1" t="s">
        <v>311</v>
      </c>
      <c r="C68" s="1">
        <v>0</v>
      </c>
      <c r="D68" s="1">
        <v>128.99</v>
      </c>
      <c r="E68" s="1">
        <v>131.91999999999999</v>
      </c>
      <c r="F68" s="1">
        <v>131.91999999999999</v>
      </c>
      <c r="G68" s="1">
        <v>123.12</v>
      </c>
      <c r="H68" s="29" t="s">
        <v>528</v>
      </c>
    </row>
    <row r="69" spans="1:8" ht="15">
      <c r="A69" s="1" t="s">
        <v>114</v>
      </c>
      <c r="B69" s="1" t="s">
        <v>311</v>
      </c>
      <c r="C69" s="1">
        <v>0</v>
      </c>
      <c r="D69" s="1">
        <v>1365.58</v>
      </c>
      <c r="E69" s="1">
        <v>1969.19</v>
      </c>
      <c r="F69" s="1">
        <v>1662.8</v>
      </c>
      <c r="G69" s="1">
        <v>464.76</v>
      </c>
      <c r="H69" s="29" t="s">
        <v>528</v>
      </c>
    </row>
    <row r="70" spans="1:8" ht="15">
      <c r="A70" s="1" t="s">
        <v>91</v>
      </c>
      <c r="B70" s="1" t="s">
        <v>311</v>
      </c>
      <c r="C70" s="1">
        <v>0</v>
      </c>
      <c r="D70" s="1">
        <v>40</v>
      </c>
      <c r="E70" s="1">
        <v>30</v>
      </c>
      <c r="F70" s="1">
        <v>50</v>
      </c>
      <c r="G70" s="1">
        <v>40</v>
      </c>
      <c r="H70" s="29" t="s">
        <v>528</v>
      </c>
    </row>
    <row r="71" spans="1:8" ht="15">
      <c r="A71" s="1" t="s">
        <v>79</v>
      </c>
      <c r="B71" s="1" t="s">
        <v>311</v>
      </c>
      <c r="C71" s="1">
        <v>0</v>
      </c>
      <c r="D71" s="1">
        <v>2.94</v>
      </c>
      <c r="E71" s="1">
        <v>2.2000000000000002</v>
      </c>
      <c r="F71" s="1">
        <v>3.3</v>
      </c>
      <c r="G71" s="1">
        <v>3.3</v>
      </c>
      <c r="H71" s="29" t="s">
        <v>528</v>
      </c>
    </row>
    <row r="72" spans="1:8" ht="15">
      <c r="A72" s="1" t="s">
        <v>80</v>
      </c>
      <c r="B72" s="1" t="s">
        <v>311</v>
      </c>
      <c r="C72" s="1">
        <v>0</v>
      </c>
      <c r="D72" s="1">
        <v>51.37</v>
      </c>
      <c r="E72" s="1">
        <v>52.84</v>
      </c>
      <c r="F72" s="1">
        <v>53.94</v>
      </c>
      <c r="G72" s="1">
        <v>47.34</v>
      </c>
      <c r="H72" s="29" t="s">
        <v>528</v>
      </c>
    </row>
    <row r="73" spans="1:8">
      <c r="A73" s="72" t="s">
        <v>349</v>
      </c>
      <c r="B73" s="72"/>
      <c r="C73" s="72"/>
      <c r="D73" s="72"/>
      <c r="E73" s="72"/>
      <c r="F73" s="72"/>
      <c r="G73" s="72"/>
    </row>
  </sheetData>
  <mergeCells count="9">
    <mergeCell ref="I1:J1"/>
    <mergeCell ref="A73:G73"/>
    <mergeCell ref="A39:G39"/>
    <mergeCell ref="A40:G40"/>
    <mergeCell ref="A41:G41"/>
    <mergeCell ref="A57:G57"/>
    <mergeCell ref="A62:G62"/>
    <mergeCell ref="A63:G63"/>
    <mergeCell ref="A64:G64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B1" workbookViewId="0">
      <selection activeCell="M18" sqref="M18"/>
    </sheetView>
  </sheetViews>
  <sheetFormatPr baseColWidth="10" defaultRowHeight="13" x14ac:dyDescent="0"/>
  <cols>
    <col min="1" max="1" width="32.42578125" customWidth="1"/>
  </cols>
  <sheetData>
    <row r="1" spans="1:13">
      <c r="A1" s="26" t="s">
        <v>524</v>
      </c>
      <c r="I1" s="74" t="s">
        <v>461</v>
      </c>
      <c r="J1" s="74"/>
    </row>
    <row r="2" spans="1:13" ht="24">
      <c r="C2" s="2" t="s">
        <v>482</v>
      </c>
      <c r="D2" s="2" t="s">
        <v>483</v>
      </c>
      <c r="E2" s="2">
        <v>2008</v>
      </c>
      <c r="F2" s="2">
        <v>2009</v>
      </c>
      <c r="G2" s="2" t="s">
        <v>484</v>
      </c>
      <c r="I2" s="25" t="s">
        <v>572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s="8" t="s">
        <v>402</v>
      </c>
      <c r="C3">
        <f>C29</f>
        <v>266.89999999999998</v>
      </c>
      <c r="D3">
        <f t="shared" ref="D3:G3" si="0">D29</f>
        <v>398</v>
      </c>
      <c r="E3">
        <f t="shared" si="0"/>
        <v>398</v>
      </c>
      <c r="F3">
        <f t="shared" si="0"/>
        <v>398</v>
      </c>
      <c r="G3">
        <f t="shared" si="0"/>
        <v>398</v>
      </c>
      <c r="I3" s="43">
        <f>C3*0.672</f>
        <v>179.35679999999999</v>
      </c>
      <c r="J3" s="43">
        <f>D3*0.645695</f>
        <v>256.98660999999998</v>
      </c>
      <c r="K3" s="43">
        <f>E3*0.647664</f>
        <v>257.77027200000003</v>
      </c>
      <c r="L3" s="43">
        <f>F3*0.668583</f>
        <v>266.09603400000003</v>
      </c>
      <c r="M3" s="43">
        <f>G3*0.645695</f>
        <v>256.98660999999998</v>
      </c>
    </row>
    <row r="4" spans="1:13">
      <c r="A4" s="8" t="s">
        <v>403</v>
      </c>
      <c r="C4">
        <f>C32</f>
        <v>0</v>
      </c>
      <c r="D4">
        <f t="shared" ref="D4:G4" si="1">D32</f>
        <v>252</v>
      </c>
      <c r="E4">
        <f t="shared" si="1"/>
        <v>0</v>
      </c>
      <c r="F4">
        <f t="shared" si="1"/>
        <v>252</v>
      </c>
      <c r="G4">
        <f t="shared" si="1"/>
        <v>252</v>
      </c>
      <c r="I4" s="43">
        <f t="shared" ref="I4:I21" si="2">C4*0.672</f>
        <v>0</v>
      </c>
      <c r="J4" s="43">
        <f t="shared" ref="J4:J21" si="3">D4*0.645695</f>
        <v>162.71513999999999</v>
      </c>
      <c r="K4" s="43">
        <f t="shared" ref="K4:K21" si="4">E4*0.647664</f>
        <v>0</v>
      </c>
      <c r="L4" s="43">
        <f t="shared" ref="L4:L21" si="5">F4*0.668583</f>
        <v>168.48291600000002</v>
      </c>
      <c r="M4" s="43">
        <f t="shared" ref="M4:M21" si="6">G4*0.645695</f>
        <v>162.71513999999999</v>
      </c>
    </row>
    <row r="5" spans="1:13">
      <c r="A5" s="8" t="s">
        <v>404</v>
      </c>
      <c r="I5" s="43">
        <f t="shared" si="2"/>
        <v>0</v>
      </c>
      <c r="J5" s="43">
        <f t="shared" si="3"/>
        <v>0</v>
      </c>
      <c r="K5" s="43">
        <f t="shared" si="4"/>
        <v>0</v>
      </c>
      <c r="L5" s="43">
        <f t="shared" si="5"/>
        <v>0</v>
      </c>
      <c r="M5" s="43">
        <f t="shared" si="6"/>
        <v>0</v>
      </c>
    </row>
    <row r="6" spans="1:13">
      <c r="A6" s="8" t="s">
        <v>405</v>
      </c>
      <c r="C6">
        <f>SUM(C3:C5)</f>
        <v>266.89999999999998</v>
      </c>
      <c r="D6">
        <f t="shared" ref="D6:G6" si="7">SUM(D3:D5)</f>
        <v>650</v>
      </c>
      <c r="E6">
        <f t="shared" si="7"/>
        <v>398</v>
      </c>
      <c r="F6">
        <f t="shared" si="7"/>
        <v>650</v>
      </c>
      <c r="G6">
        <f t="shared" si="7"/>
        <v>650</v>
      </c>
      <c r="I6" s="43">
        <f t="shared" si="2"/>
        <v>179.35679999999999</v>
      </c>
      <c r="J6" s="43">
        <f t="shared" si="3"/>
        <v>419.70175</v>
      </c>
      <c r="K6" s="43">
        <f t="shared" si="4"/>
        <v>257.77027200000003</v>
      </c>
      <c r="L6" s="43">
        <f t="shared" si="5"/>
        <v>434.57895000000002</v>
      </c>
      <c r="M6" s="43">
        <f t="shared" si="6"/>
        <v>419.70175</v>
      </c>
    </row>
    <row r="7" spans="1:13">
      <c r="A7" s="8"/>
      <c r="I7" s="43"/>
      <c r="J7" s="43"/>
      <c r="K7" s="43"/>
      <c r="L7" s="43"/>
      <c r="M7" s="43"/>
    </row>
    <row r="8" spans="1:13">
      <c r="A8" s="8" t="s">
        <v>406</v>
      </c>
      <c r="C8">
        <f>C40+C41</f>
        <v>0</v>
      </c>
      <c r="D8">
        <f t="shared" ref="D8:G8" si="8">D40+D41</f>
        <v>0</v>
      </c>
      <c r="E8">
        <f t="shared" si="8"/>
        <v>0</v>
      </c>
      <c r="F8">
        <f t="shared" si="8"/>
        <v>0</v>
      </c>
      <c r="G8">
        <f t="shared" si="8"/>
        <v>0</v>
      </c>
      <c r="I8" s="43">
        <f t="shared" si="2"/>
        <v>0</v>
      </c>
      <c r="J8" s="43">
        <f t="shared" si="3"/>
        <v>0</v>
      </c>
      <c r="K8" s="43">
        <f t="shared" si="4"/>
        <v>0</v>
      </c>
      <c r="L8" s="43">
        <f t="shared" si="5"/>
        <v>0</v>
      </c>
      <c r="M8" s="43">
        <f t="shared" si="6"/>
        <v>0</v>
      </c>
    </row>
    <row r="9" spans="1:13">
      <c r="A9" s="8" t="s">
        <v>313</v>
      </c>
      <c r="C9">
        <f>C44+C45+C46+C47+C48</f>
        <v>0</v>
      </c>
      <c r="D9">
        <f t="shared" ref="D9:G9" si="9">D44+D45+D46+D47+D48</f>
        <v>484.33</v>
      </c>
      <c r="E9">
        <f t="shared" si="9"/>
        <v>473</v>
      </c>
      <c r="F9">
        <f t="shared" si="9"/>
        <v>468</v>
      </c>
      <c r="G9">
        <f t="shared" si="9"/>
        <v>512</v>
      </c>
      <c r="I9" s="43">
        <f t="shared" si="2"/>
        <v>0</v>
      </c>
      <c r="J9" s="43">
        <f t="shared" si="3"/>
        <v>312.72945935000001</v>
      </c>
      <c r="K9" s="43">
        <f t="shared" si="4"/>
        <v>306.34507200000002</v>
      </c>
      <c r="L9" s="43">
        <f t="shared" si="5"/>
        <v>312.89684400000004</v>
      </c>
      <c r="M9" s="43">
        <f t="shared" si="6"/>
        <v>330.59584000000001</v>
      </c>
    </row>
    <row r="10" spans="1:13">
      <c r="A10" s="8" t="s">
        <v>314</v>
      </c>
      <c r="I10" s="43">
        <f t="shared" si="2"/>
        <v>0</v>
      </c>
      <c r="J10" s="43">
        <f t="shared" si="3"/>
        <v>0</v>
      </c>
      <c r="K10" s="43">
        <f t="shared" si="4"/>
        <v>0</v>
      </c>
      <c r="L10" s="43">
        <f t="shared" si="5"/>
        <v>0</v>
      </c>
      <c r="M10" s="43">
        <f t="shared" si="6"/>
        <v>0</v>
      </c>
    </row>
    <row r="11" spans="1:13">
      <c r="A11" s="8" t="s">
        <v>315</v>
      </c>
      <c r="C11">
        <f>SUM(C8:C10)</f>
        <v>0</v>
      </c>
      <c r="D11">
        <f t="shared" ref="D11:G11" si="10">SUM(D8:D10)</f>
        <v>484.33</v>
      </c>
      <c r="E11">
        <f t="shared" si="10"/>
        <v>473</v>
      </c>
      <c r="F11">
        <f t="shared" si="10"/>
        <v>468</v>
      </c>
      <c r="G11">
        <f t="shared" si="10"/>
        <v>512</v>
      </c>
      <c r="I11" s="43">
        <f t="shared" si="2"/>
        <v>0</v>
      </c>
      <c r="J11" s="43">
        <f t="shared" si="3"/>
        <v>312.72945935000001</v>
      </c>
      <c r="K11" s="43">
        <f t="shared" si="4"/>
        <v>306.34507200000002</v>
      </c>
      <c r="L11" s="43">
        <f t="shared" si="5"/>
        <v>312.89684400000004</v>
      </c>
      <c r="M11" s="43">
        <f t="shared" si="6"/>
        <v>330.59584000000001</v>
      </c>
    </row>
    <row r="12" spans="1:13">
      <c r="A12" s="8"/>
      <c r="I12" s="43"/>
      <c r="J12" s="43"/>
      <c r="K12" s="43"/>
      <c r="L12" s="43"/>
      <c r="M12" s="43"/>
    </row>
    <row r="13" spans="1:13">
      <c r="A13" s="8" t="s">
        <v>316</v>
      </c>
      <c r="C13">
        <f>C56+C57</f>
        <v>0</v>
      </c>
      <c r="D13">
        <f t="shared" ref="D13:G13" si="11">D56+D57</f>
        <v>0</v>
      </c>
      <c r="E13">
        <f t="shared" si="11"/>
        <v>0</v>
      </c>
      <c r="F13">
        <f t="shared" si="11"/>
        <v>0</v>
      </c>
      <c r="G13">
        <f t="shared" si="11"/>
        <v>0</v>
      </c>
      <c r="I13" s="43">
        <f t="shared" si="2"/>
        <v>0</v>
      </c>
      <c r="J13" s="43">
        <f t="shared" si="3"/>
        <v>0</v>
      </c>
      <c r="K13" s="43">
        <f t="shared" si="4"/>
        <v>0</v>
      </c>
      <c r="L13" s="43">
        <f t="shared" si="5"/>
        <v>0</v>
      </c>
      <c r="M13" s="43">
        <f t="shared" si="6"/>
        <v>0</v>
      </c>
    </row>
    <row r="14" spans="1:13">
      <c r="A14" s="8" t="s">
        <v>317</v>
      </c>
      <c r="I14" s="43">
        <f t="shared" si="2"/>
        <v>0</v>
      </c>
      <c r="J14" s="43">
        <f t="shared" si="3"/>
        <v>0</v>
      </c>
      <c r="K14" s="43">
        <f t="shared" si="4"/>
        <v>0</v>
      </c>
      <c r="L14" s="43">
        <f t="shared" si="5"/>
        <v>0</v>
      </c>
      <c r="M14" s="43">
        <f t="shared" si="6"/>
        <v>0</v>
      </c>
    </row>
    <row r="15" spans="1:13">
      <c r="A15" s="8" t="s">
        <v>318</v>
      </c>
      <c r="I15" s="43">
        <f t="shared" si="2"/>
        <v>0</v>
      </c>
      <c r="J15" s="43">
        <f t="shared" si="3"/>
        <v>0</v>
      </c>
      <c r="K15" s="43">
        <f t="shared" si="4"/>
        <v>0</v>
      </c>
      <c r="L15" s="43">
        <f t="shared" si="5"/>
        <v>0</v>
      </c>
      <c r="M15" s="43">
        <f t="shared" si="6"/>
        <v>0</v>
      </c>
    </row>
    <row r="16" spans="1:13">
      <c r="A16" s="8" t="s">
        <v>319</v>
      </c>
      <c r="C16">
        <f>SUM(C13:C15)</f>
        <v>0</v>
      </c>
      <c r="D16">
        <f t="shared" ref="D16:G16" si="12">SUM(D13:D15)</f>
        <v>0</v>
      </c>
      <c r="E16">
        <f t="shared" si="12"/>
        <v>0</v>
      </c>
      <c r="F16">
        <f t="shared" si="12"/>
        <v>0</v>
      </c>
      <c r="G16">
        <f t="shared" si="12"/>
        <v>0</v>
      </c>
      <c r="I16" s="43">
        <f t="shared" si="2"/>
        <v>0</v>
      </c>
      <c r="J16" s="43">
        <f t="shared" si="3"/>
        <v>0</v>
      </c>
      <c r="K16" s="43">
        <f t="shared" si="4"/>
        <v>0</v>
      </c>
      <c r="L16" s="43">
        <f t="shared" si="5"/>
        <v>0</v>
      </c>
      <c r="M16" s="43">
        <f t="shared" si="6"/>
        <v>0</v>
      </c>
    </row>
    <row r="17" spans="1:13">
      <c r="A17" s="8"/>
      <c r="I17" s="43"/>
      <c r="J17" s="43"/>
      <c r="K17" s="43"/>
      <c r="L17" s="43"/>
      <c r="M17" s="43"/>
    </row>
    <row r="18" spans="1:13">
      <c r="A18" s="8" t="s">
        <v>320</v>
      </c>
      <c r="C18" s="8">
        <f>C3+C8+C13</f>
        <v>266.89999999999998</v>
      </c>
      <c r="D18" s="8">
        <f>D3+D8+D13</f>
        <v>398</v>
      </c>
      <c r="E18" s="8">
        <f t="shared" ref="D18:G20" si="13">E3+E8+E13</f>
        <v>398</v>
      </c>
      <c r="F18" s="8">
        <f t="shared" si="13"/>
        <v>398</v>
      </c>
      <c r="G18" s="8">
        <f>G3+G8+G13</f>
        <v>398</v>
      </c>
      <c r="I18" s="43">
        <f t="shared" si="2"/>
        <v>179.35679999999999</v>
      </c>
      <c r="J18" s="43">
        <f t="shared" si="3"/>
        <v>256.98660999999998</v>
      </c>
      <c r="K18" s="43">
        <f t="shared" si="4"/>
        <v>257.77027200000003</v>
      </c>
      <c r="L18" s="43">
        <f t="shared" si="5"/>
        <v>266.09603400000003</v>
      </c>
      <c r="M18" s="43">
        <f t="shared" si="6"/>
        <v>256.98660999999998</v>
      </c>
    </row>
    <row r="19" spans="1:13">
      <c r="A19" s="8" t="s">
        <v>321</v>
      </c>
      <c r="C19" s="8">
        <f>C4+C9+C14</f>
        <v>0</v>
      </c>
      <c r="D19" s="8">
        <f>D4+D9+D14</f>
        <v>736.32999999999993</v>
      </c>
      <c r="E19" s="8">
        <f t="shared" si="13"/>
        <v>473</v>
      </c>
      <c r="F19" s="8">
        <f t="shared" si="13"/>
        <v>720</v>
      </c>
      <c r="G19" s="8">
        <f>G4+G9+G14</f>
        <v>764</v>
      </c>
      <c r="I19" s="43">
        <f t="shared" si="2"/>
        <v>0</v>
      </c>
      <c r="J19" s="43">
        <f t="shared" si="3"/>
        <v>475.44459934999998</v>
      </c>
      <c r="K19" s="43">
        <f t="shared" si="4"/>
        <v>306.34507200000002</v>
      </c>
      <c r="L19" s="43">
        <f t="shared" si="5"/>
        <v>481.37976000000003</v>
      </c>
      <c r="M19" s="43">
        <f t="shared" si="6"/>
        <v>493.31098000000003</v>
      </c>
    </row>
    <row r="20" spans="1:13">
      <c r="A20" s="8" t="s">
        <v>322</v>
      </c>
      <c r="C20" s="8">
        <f>C5+C10+C15</f>
        <v>0</v>
      </c>
      <c r="D20" s="8">
        <f t="shared" si="13"/>
        <v>0</v>
      </c>
      <c r="E20" s="8">
        <f t="shared" si="13"/>
        <v>0</v>
      </c>
      <c r="F20" s="8">
        <f t="shared" si="13"/>
        <v>0</v>
      </c>
      <c r="G20" s="8">
        <f t="shared" si="13"/>
        <v>0</v>
      </c>
      <c r="I20" s="43">
        <f t="shared" si="2"/>
        <v>0</v>
      </c>
      <c r="J20" s="43">
        <f t="shared" si="3"/>
        <v>0</v>
      </c>
      <c r="K20" s="43">
        <f t="shared" si="4"/>
        <v>0</v>
      </c>
      <c r="L20" s="43">
        <f t="shared" si="5"/>
        <v>0</v>
      </c>
      <c r="M20" s="43">
        <f t="shared" si="6"/>
        <v>0</v>
      </c>
    </row>
    <row r="21" spans="1:13">
      <c r="A21" s="8" t="s">
        <v>412</v>
      </c>
      <c r="C21" s="8">
        <f>SUM(C18:C20)</f>
        <v>266.89999999999998</v>
      </c>
      <c r="D21" s="8">
        <f t="shared" ref="D21:F21" si="14">SUM(D18:D20)</f>
        <v>1134.33</v>
      </c>
      <c r="E21" s="8">
        <f t="shared" si="14"/>
        <v>871</v>
      </c>
      <c r="F21" s="8">
        <f t="shared" si="14"/>
        <v>1118</v>
      </c>
      <c r="G21" s="8">
        <f>SUM(G18:G20)</f>
        <v>1162</v>
      </c>
      <c r="I21" s="43">
        <f t="shared" si="2"/>
        <v>179.35679999999999</v>
      </c>
      <c r="J21" s="43">
        <f t="shared" si="3"/>
        <v>732.43120935000002</v>
      </c>
      <c r="K21" s="43">
        <f t="shared" si="4"/>
        <v>564.11534400000005</v>
      </c>
      <c r="L21" s="43">
        <f t="shared" si="5"/>
        <v>747.47579400000006</v>
      </c>
      <c r="M21" s="43">
        <f t="shared" si="6"/>
        <v>750.29759000000001</v>
      </c>
    </row>
    <row r="25" spans="1:13">
      <c r="A25" s="5" t="s">
        <v>68</v>
      </c>
    </row>
    <row r="26" spans="1:13">
      <c r="A26" s="1" t="s">
        <v>58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</row>
    <row r="27" spans="1:13">
      <c r="A27" s="72" t="s">
        <v>485</v>
      </c>
      <c r="B27" s="72"/>
      <c r="C27" s="72"/>
      <c r="D27" s="72"/>
      <c r="E27" s="72"/>
      <c r="F27" s="72"/>
      <c r="G27" s="72"/>
    </row>
    <row r="28" spans="1:13">
      <c r="A28" s="73" t="s">
        <v>486</v>
      </c>
      <c r="B28" s="73"/>
      <c r="C28" s="73"/>
      <c r="D28" s="73"/>
      <c r="E28" s="73"/>
      <c r="F28" s="73"/>
      <c r="G28" s="73"/>
    </row>
    <row r="29" spans="1:13">
      <c r="A29" s="1" t="s">
        <v>50</v>
      </c>
      <c r="B29" s="1" t="s">
        <v>311</v>
      </c>
      <c r="C29" s="1">
        <v>266.89999999999998</v>
      </c>
      <c r="D29" s="1">
        <v>398</v>
      </c>
      <c r="E29" s="1">
        <v>398</v>
      </c>
      <c r="F29" s="1">
        <v>398</v>
      </c>
      <c r="G29" s="1">
        <v>398</v>
      </c>
    </row>
    <row r="30" spans="1:13">
      <c r="A30" s="72" t="s">
        <v>434</v>
      </c>
      <c r="B30" s="72"/>
      <c r="C30" s="72"/>
      <c r="D30" s="72"/>
      <c r="E30" s="72"/>
      <c r="F30" s="72"/>
      <c r="G30" s="72"/>
    </row>
    <row r="31" spans="1:13">
      <c r="A31" s="73" t="s">
        <v>435</v>
      </c>
      <c r="B31" s="73"/>
      <c r="C31" s="73"/>
      <c r="D31" s="73"/>
      <c r="E31" s="73"/>
      <c r="F31" s="73"/>
      <c r="G31" s="73"/>
    </row>
    <row r="32" spans="1:13">
      <c r="A32" s="1" t="s">
        <v>57</v>
      </c>
      <c r="B32" s="1" t="s">
        <v>311</v>
      </c>
      <c r="C32" s="1">
        <v>0</v>
      </c>
      <c r="D32" s="1">
        <v>252</v>
      </c>
      <c r="E32" s="1">
        <v>0</v>
      </c>
      <c r="F32" s="1">
        <v>252</v>
      </c>
      <c r="G32" s="1">
        <v>252</v>
      </c>
      <c r="H32" t="s">
        <v>397</v>
      </c>
    </row>
    <row r="33" spans="1:8">
      <c r="A33" s="72" t="s">
        <v>349</v>
      </c>
      <c r="B33" s="72"/>
      <c r="C33" s="72"/>
      <c r="D33" s="72"/>
      <c r="E33" s="72"/>
      <c r="F33" s="72"/>
      <c r="G33" s="72"/>
    </row>
    <row r="36" spans="1:8">
      <c r="A36" s="5" t="s">
        <v>66</v>
      </c>
    </row>
    <row r="37" spans="1:8">
      <c r="A37" s="1" t="s">
        <v>58</v>
      </c>
      <c r="B37" s="1" t="s">
        <v>481</v>
      </c>
      <c r="C37" s="1" t="s">
        <v>482</v>
      </c>
      <c r="D37" s="1" t="s">
        <v>483</v>
      </c>
      <c r="E37" s="1">
        <v>2008</v>
      </c>
      <c r="F37" s="1">
        <v>2009</v>
      </c>
      <c r="G37" s="1" t="s">
        <v>484</v>
      </c>
    </row>
    <row r="38" spans="1:8">
      <c r="A38" s="72" t="s">
        <v>485</v>
      </c>
      <c r="B38" s="72"/>
      <c r="C38" s="72"/>
      <c r="D38" s="72"/>
      <c r="E38" s="72"/>
      <c r="F38" s="72"/>
      <c r="G38" s="72"/>
    </row>
    <row r="39" spans="1:8">
      <c r="A39" s="73" t="s">
        <v>238</v>
      </c>
      <c r="B39" s="73"/>
      <c r="C39" s="73"/>
      <c r="D39" s="73"/>
      <c r="E39" s="73"/>
      <c r="F39" s="73"/>
      <c r="G39" s="73"/>
    </row>
    <row r="40" spans="1:8" ht="22">
      <c r="A40" s="1" t="s">
        <v>59</v>
      </c>
      <c r="B40" s="1" t="s">
        <v>311</v>
      </c>
      <c r="C40" s="1">
        <v>0</v>
      </c>
      <c r="D40" s="2">
        <v>0</v>
      </c>
      <c r="E40" s="2">
        <v>0</v>
      </c>
      <c r="F40" s="2">
        <v>0</v>
      </c>
      <c r="G40" s="2">
        <v>0</v>
      </c>
      <c r="H40" s="27" t="s">
        <v>519</v>
      </c>
    </row>
    <row r="41" spans="1:8" ht="22">
      <c r="A41" s="1" t="s">
        <v>60</v>
      </c>
      <c r="B41" s="1" t="s">
        <v>311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7" t="s">
        <v>519</v>
      </c>
    </row>
    <row r="42" spans="1:8">
      <c r="A42" s="72" t="s">
        <v>434</v>
      </c>
      <c r="B42" s="72"/>
      <c r="C42" s="72"/>
      <c r="D42" s="72"/>
      <c r="E42" s="72"/>
      <c r="F42" s="72"/>
      <c r="G42" s="72"/>
    </row>
    <row r="43" spans="1:8">
      <c r="A43" s="73" t="s">
        <v>435</v>
      </c>
      <c r="B43" s="73"/>
      <c r="C43" s="73"/>
      <c r="D43" s="73"/>
      <c r="E43" s="73"/>
      <c r="F43" s="73"/>
      <c r="G43" s="73"/>
    </row>
    <row r="44" spans="1:8">
      <c r="A44" s="1" t="s">
        <v>61</v>
      </c>
      <c r="B44" s="1" t="s">
        <v>311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7" t="s">
        <v>519</v>
      </c>
    </row>
    <row r="45" spans="1:8">
      <c r="A45" s="1" t="s">
        <v>62</v>
      </c>
      <c r="B45" s="1" t="s">
        <v>311</v>
      </c>
      <c r="C45" s="1">
        <v>0</v>
      </c>
      <c r="D45" s="1">
        <v>484.33</v>
      </c>
      <c r="E45" s="1">
        <v>473</v>
      </c>
      <c r="F45" s="1">
        <v>468</v>
      </c>
      <c r="G45" s="1">
        <v>512</v>
      </c>
      <c r="H45" s="27" t="s">
        <v>521</v>
      </c>
    </row>
    <row r="46" spans="1:8">
      <c r="A46" s="1" t="s">
        <v>63</v>
      </c>
      <c r="B46" s="1" t="s">
        <v>311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7" t="s">
        <v>522</v>
      </c>
    </row>
    <row r="47" spans="1:8">
      <c r="A47" s="1" t="s">
        <v>64</v>
      </c>
      <c r="B47" s="1" t="s">
        <v>311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7" t="s">
        <v>522</v>
      </c>
    </row>
    <row r="48" spans="1:8" ht="22">
      <c r="A48" s="1" t="s">
        <v>65</v>
      </c>
      <c r="B48" s="1" t="s">
        <v>311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27" t="s">
        <v>519</v>
      </c>
    </row>
    <row r="49" spans="1:8">
      <c r="A49" s="72" t="s">
        <v>349</v>
      </c>
      <c r="B49" s="72"/>
      <c r="C49" s="72"/>
      <c r="D49" s="72"/>
      <c r="E49" s="72"/>
      <c r="F49" s="72"/>
      <c r="G49" s="72"/>
    </row>
    <row r="52" spans="1:8">
      <c r="A52" s="5" t="s">
        <v>67</v>
      </c>
    </row>
    <row r="53" spans="1:8">
      <c r="A53" s="1" t="s">
        <v>58</v>
      </c>
      <c r="B53" s="1" t="s">
        <v>481</v>
      </c>
      <c r="C53" s="1" t="s">
        <v>482</v>
      </c>
      <c r="D53" s="1" t="s">
        <v>483</v>
      </c>
      <c r="E53" s="1">
        <v>2008</v>
      </c>
      <c r="F53" s="1">
        <v>2009</v>
      </c>
      <c r="G53" s="1" t="s">
        <v>484</v>
      </c>
    </row>
    <row r="54" spans="1:8">
      <c r="A54" s="72" t="s">
        <v>485</v>
      </c>
      <c r="B54" s="72"/>
      <c r="C54" s="72"/>
      <c r="D54" s="72"/>
      <c r="E54" s="72"/>
      <c r="F54" s="72"/>
      <c r="G54" s="72"/>
    </row>
    <row r="55" spans="1:8">
      <c r="A55" s="73" t="s">
        <v>238</v>
      </c>
      <c r="B55" s="73"/>
      <c r="C55" s="73"/>
      <c r="D55" s="73"/>
      <c r="E55" s="73"/>
      <c r="F55" s="73"/>
      <c r="G55" s="73"/>
    </row>
    <row r="56" spans="1:8" ht="22">
      <c r="A56" s="1" t="s">
        <v>59</v>
      </c>
      <c r="B56" s="1" t="s">
        <v>311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27" t="s">
        <v>519</v>
      </c>
    </row>
    <row r="57" spans="1:8" ht="22">
      <c r="A57" s="1" t="s">
        <v>60</v>
      </c>
      <c r="B57" s="1" t="s">
        <v>311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27" t="s">
        <v>519</v>
      </c>
    </row>
    <row r="58" spans="1:8">
      <c r="A58" s="72" t="s">
        <v>375</v>
      </c>
      <c r="B58" s="72"/>
      <c r="C58" s="72"/>
      <c r="D58" s="72"/>
      <c r="E58" s="72"/>
      <c r="F58" s="72"/>
      <c r="G58" s="72"/>
    </row>
    <row r="59" spans="1:8">
      <c r="A59" s="72" t="s">
        <v>349</v>
      </c>
      <c r="B59" s="72"/>
      <c r="C59" s="72"/>
      <c r="D59" s="72"/>
      <c r="E59" s="72"/>
      <c r="F59" s="72"/>
      <c r="G59" s="72"/>
    </row>
  </sheetData>
  <mergeCells count="15">
    <mergeCell ref="A38:G38"/>
    <mergeCell ref="I1:J1"/>
    <mergeCell ref="A27:G27"/>
    <mergeCell ref="A28:G28"/>
    <mergeCell ref="A30:G30"/>
    <mergeCell ref="A31:G31"/>
    <mergeCell ref="A33:G33"/>
    <mergeCell ref="A58:G58"/>
    <mergeCell ref="A59:G59"/>
    <mergeCell ref="A39:G39"/>
    <mergeCell ref="A42:G42"/>
    <mergeCell ref="A43:G43"/>
    <mergeCell ref="A49:G49"/>
    <mergeCell ref="A54:G54"/>
    <mergeCell ref="A55:G55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C1" workbookViewId="0">
      <selection activeCell="M21" sqref="I3:M21"/>
    </sheetView>
  </sheetViews>
  <sheetFormatPr baseColWidth="10" defaultRowHeight="13" x14ac:dyDescent="0"/>
  <cols>
    <col min="1" max="1" width="31.42578125" customWidth="1"/>
    <col min="8" max="8" width="10.5703125" style="16" customWidth="1"/>
  </cols>
  <sheetData>
    <row r="1" spans="1:13">
      <c r="A1" s="26" t="s">
        <v>523</v>
      </c>
      <c r="I1" s="74" t="s">
        <v>461</v>
      </c>
      <c r="J1" s="74"/>
    </row>
    <row r="2" spans="1:13">
      <c r="C2" s="2" t="s">
        <v>482</v>
      </c>
      <c r="D2" s="2" t="s">
        <v>483</v>
      </c>
      <c r="E2" s="2">
        <v>2008</v>
      </c>
      <c r="F2" s="2">
        <v>2009</v>
      </c>
      <c r="G2" s="2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s="8" t="s">
        <v>402</v>
      </c>
      <c r="C3">
        <f>C29+C31</f>
        <v>54.06</v>
      </c>
      <c r="D3">
        <f t="shared" ref="D3:G3" si="0">D29+D31</f>
        <v>0</v>
      </c>
      <c r="E3">
        <f t="shared" si="0"/>
        <v>1.45</v>
      </c>
      <c r="F3">
        <f t="shared" si="0"/>
        <v>0</v>
      </c>
      <c r="G3">
        <f t="shared" si="0"/>
        <v>0</v>
      </c>
      <c r="I3" s="42">
        <f>C3*1.6095</f>
        <v>87.009569999999997</v>
      </c>
      <c r="J3" s="43">
        <f>D3*1.55237</f>
        <v>0</v>
      </c>
      <c r="K3" s="43">
        <f>E3*1.4619</f>
        <v>2.1197550000000001</v>
      </c>
      <c r="L3" s="43">
        <f>F3*1.62212</f>
        <v>0</v>
      </c>
      <c r="M3" s="43">
        <f>G3*1.55237</f>
        <v>0</v>
      </c>
    </row>
    <row r="4" spans="1:13">
      <c r="A4" s="8" t="s">
        <v>403</v>
      </c>
      <c r="C4">
        <f>C34</f>
        <v>51.6</v>
      </c>
      <c r="D4">
        <f t="shared" ref="D4:G4" si="1">D34</f>
        <v>56.28</v>
      </c>
      <c r="E4">
        <f t="shared" si="1"/>
        <v>58.5</v>
      </c>
      <c r="F4">
        <f t="shared" si="1"/>
        <v>47.39</v>
      </c>
      <c r="G4">
        <f t="shared" si="1"/>
        <v>62.94</v>
      </c>
      <c r="I4" s="42">
        <f t="shared" ref="I4:I21" si="2">C4*1.6095</f>
        <v>83.050200000000004</v>
      </c>
      <c r="J4" s="43">
        <f t="shared" ref="J4:J21" si="3">D4*1.55237</f>
        <v>87.367383599999997</v>
      </c>
      <c r="K4" s="43">
        <f t="shared" ref="K4:K21" si="4">E4*1.4619</f>
        <v>85.521150000000006</v>
      </c>
      <c r="L4" s="43">
        <f t="shared" ref="L4:L21" si="5">F4*1.62212</f>
        <v>76.872266800000006</v>
      </c>
      <c r="M4" s="43">
        <f t="shared" ref="M4:M21" si="6">G4*1.55237</f>
        <v>97.706167800000003</v>
      </c>
    </row>
    <row r="5" spans="1:13">
      <c r="A5" s="8" t="s">
        <v>404</v>
      </c>
      <c r="C5">
        <f>C36</f>
        <v>24.79</v>
      </c>
      <c r="D5">
        <f t="shared" ref="D5:G5" si="7">D36</f>
        <v>9.64</v>
      </c>
      <c r="E5">
        <f t="shared" si="7"/>
        <v>12.4</v>
      </c>
      <c r="F5">
        <f t="shared" si="7"/>
        <v>8.26</v>
      </c>
      <c r="G5">
        <f t="shared" si="7"/>
        <v>8.26</v>
      </c>
      <c r="I5" s="42">
        <f t="shared" si="2"/>
        <v>39.899504999999998</v>
      </c>
      <c r="J5" s="43">
        <f t="shared" si="3"/>
        <v>14.964846800000002</v>
      </c>
      <c r="K5" s="43">
        <f t="shared" si="4"/>
        <v>18.127559999999999</v>
      </c>
      <c r="L5" s="43">
        <f t="shared" si="5"/>
        <v>13.398711199999999</v>
      </c>
      <c r="M5" s="43">
        <f t="shared" si="6"/>
        <v>12.8225762</v>
      </c>
    </row>
    <row r="6" spans="1:13">
      <c r="A6" s="8" t="s">
        <v>405</v>
      </c>
      <c r="C6">
        <f>SUM(C3:C5)</f>
        <v>130.44999999999999</v>
      </c>
      <c r="D6">
        <f t="shared" ref="D6:G6" si="8">SUM(D3:D5)</f>
        <v>65.92</v>
      </c>
      <c r="E6">
        <f t="shared" si="8"/>
        <v>72.350000000000009</v>
      </c>
      <c r="F6">
        <f t="shared" si="8"/>
        <v>55.65</v>
      </c>
      <c r="G6">
        <f t="shared" si="8"/>
        <v>71.2</v>
      </c>
      <c r="I6" s="42">
        <f t="shared" si="2"/>
        <v>209.95927499999996</v>
      </c>
      <c r="J6" s="43">
        <f t="shared" si="3"/>
        <v>102.3322304</v>
      </c>
      <c r="K6" s="43">
        <f t="shared" si="4"/>
        <v>105.76846500000001</v>
      </c>
      <c r="L6" s="43">
        <f t="shared" si="5"/>
        <v>90.270977999999999</v>
      </c>
      <c r="M6" s="43">
        <f t="shared" si="6"/>
        <v>110.528744</v>
      </c>
    </row>
    <row r="7" spans="1:13">
      <c r="A7" s="8"/>
      <c r="I7" s="42"/>
      <c r="J7" s="43"/>
      <c r="K7" s="43"/>
      <c r="L7" s="43"/>
      <c r="M7" s="43"/>
    </row>
    <row r="8" spans="1:13">
      <c r="A8" s="8" t="s">
        <v>406</v>
      </c>
      <c r="C8">
        <f>C43+C44+C45+C47</f>
        <v>585.02</v>
      </c>
      <c r="D8">
        <f t="shared" ref="D8:G8" si="9">D43+D44+D45+D47</f>
        <v>280.77999999999997</v>
      </c>
      <c r="E8">
        <f t="shared" si="9"/>
        <v>396.71000000000004</v>
      </c>
      <c r="F8">
        <f t="shared" si="9"/>
        <v>211.94</v>
      </c>
      <c r="G8">
        <f t="shared" si="9"/>
        <v>233.68</v>
      </c>
      <c r="I8" s="42">
        <f t="shared" si="2"/>
        <v>941.58968999999991</v>
      </c>
      <c r="J8" s="43">
        <f t="shared" si="3"/>
        <v>435.87444859999999</v>
      </c>
      <c r="K8" s="43">
        <f t="shared" si="4"/>
        <v>579.95034900000007</v>
      </c>
      <c r="L8" s="43">
        <f t="shared" si="5"/>
        <v>343.79211279999998</v>
      </c>
      <c r="M8" s="43">
        <f t="shared" si="6"/>
        <v>362.7578216</v>
      </c>
    </row>
    <row r="9" spans="1:13">
      <c r="A9" s="8" t="s">
        <v>313</v>
      </c>
      <c r="C9">
        <f>C50</f>
        <v>121.06</v>
      </c>
      <c r="D9">
        <f t="shared" ref="D9:G9" si="10">D50</f>
        <v>255.34</v>
      </c>
      <c r="E9">
        <f t="shared" si="10"/>
        <v>265.42</v>
      </c>
      <c r="F9">
        <f t="shared" si="10"/>
        <v>215.03</v>
      </c>
      <c r="G9">
        <f t="shared" si="10"/>
        <v>285.58</v>
      </c>
      <c r="I9" s="42">
        <f t="shared" si="2"/>
        <v>194.84607</v>
      </c>
      <c r="J9" s="43">
        <f t="shared" si="3"/>
        <v>396.38215580000002</v>
      </c>
      <c r="K9" s="43">
        <f t="shared" si="4"/>
        <v>388.01749799999999</v>
      </c>
      <c r="L9" s="43">
        <f t="shared" si="5"/>
        <v>348.80446360000002</v>
      </c>
      <c r="M9" s="43">
        <f t="shared" si="6"/>
        <v>443.32582459999998</v>
      </c>
    </row>
    <row r="10" spans="1:13">
      <c r="A10" s="8" t="s">
        <v>314</v>
      </c>
      <c r="I10" s="42">
        <f t="shared" si="2"/>
        <v>0</v>
      </c>
      <c r="J10" s="43">
        <f t="shared" si="3"/>
        <v>0</v>
      </c>
      <c r="K10" s="43">
        <f t="shared" si="4"/>
        <v>0</v>
      </c>
      <c r="L10" s="43">
        <f t="shared" si="5"/>
        <v>0</v>
      </c>
      <c r="M10" s="43">
        <f t="shared" si="6"/>
        <v>0</v>
      </c>
    </row>
    <row r="11" spans="1:13">
      <c r="A11" s="8" t="s">
        <v>315</v>
      </c>
      <c r="C11">
        <f>SUM(C8:C10)</f>
        <v>706.07999999999993</v>
      </c>
      <c r="D11">
        <f t="shared" ref="D11:G11" si="11">SUM(D8:D10)</f>
        <v>536.12</v>
      </c>
      <c r="E11">
        <f t="shared" si="11"/>
        <v>662.13000000000011</v>
      </c>
      <c r="F11">
        <f t="shared" si="11"/>
        <v>426.97</v>
      </c>
      <c r="G11">
        <f t="shared" si="11"/>
        <v>519.26</v>
      </c>
      <c r="I11" s="42">
        <f t="shared" si="2"/>
        <v>1136.4357599999998</v>
      </c>
      <c r="J11" s="43">
        <f t="shared" si="3"/>
        <v>832.25660440000001</v>
      </c>
      <c r="K11" s="43">
        <f t="shared" si="4"/>
        <v>967.96784700000012</v>
      </c>
      <c r="L11" s="43">
        <f t="shared" si="5"/>
        <v>692.5965764</v>
      </c>
      <c r="M11" s="43">
        <f t="shared" si="6"/>
        <v>806.08364619999998</v>
      </c>
    </row>
    <row r="12" spans="1:13">
      <c r="A12" s="8"/>
      <c r="I12" s="42"/>
      <c r="J12" s="43"/>
      <c r="K12" s="43"/>
      <c r="L12" s="43"/>
      <c r="M12" s="43"/>
    </row>
    <row r="13" spans="1:13">
      <c r="A13" s="8" t="s">
        <v>316</v>
      </c>
      <c r="C13">
        <f>C58+C59+C60+C61+C63</f>
        <v>636.6400000000001</v>
      </c>
      <c r="D13">
        <f t="shared" ref="D13:G13" si="12">D58+D59+D60+D61+D63</f>
        <v>252.56</v>
      </c>
      <c r="E13">
        <f t="shared" si="12"/>
        <v>353.28999999999996</v>
      </c>
      <c r="F13">
        <f t="shared" si="12"/>
        <v>198.06</v>
      </c>
      <c r="G13">
        <f t="shared" si="12"/>
        <v>206.32</v>
      </c>
      <c r="I13" s="42">
        <f t="shared" si="2"/>
        <v>1024.6720800000001</v>
      </c>
      <c r="J13" s="43">
        <f t="shared" si="3"/>
        <v>392.06656720000001</v>
      </c>
      <c r="K13" s="43">
        <f t="shared" si="4"/>
        <v>516.47465099999999</v>
      </c>
      <c r="L13" s="43">
        <f t="shared" si="5"/>
        <v>321.27708719999998</v>
      </c>
      <c r="M13" s="43">
        <f t="shared" si="6"/>
        <v>320.2849784</v>
      </c>
    </row>
    <row r="14" spans="1:13">
      <c r="A14" s="8" t="s">
        <v>317</v>
      </c>
      <c r="C14">
        <f>C66</f>
        <v>1147.96</v>
      </c>
      <c r="D14">
        <f t="shared" ref="D14:G14" si="13">D66</f>
        <v>2539.75</v>
      </c>
      <c r="E14">
        <f t="shared" si="13"/>
        <v>2640</v>
      </c>
      <c r="F14">
        <f t="shared" si="13"/>
        <v>2138.7399999999998</v>
      </c>
      <c r="G14">
        <f t="shared" si="13"/>
        <v>2840.51</v>
      </c>
      <c r="I14" s="42">
        <f t="shared" si="2"/>
        <v>1847.6416199999999</v>
      </c>
      <c r="J14" s="43">
        <f t="shared" si="3"/>
        <v>3942.6317075000002</v>
      </c>
      <c r="K14" s="43">
        <f t="shared" si="4"/>
        <v>3859.4160000000002</v>
      </c>
      <c r="L14" s="43">
        <f t="shared" si="5"/>
        <v>3469.2929287999996</v>
      </c>
      <c r="M14" s="43">
        <f t="shared" si="6"/>
        <v>4409.5225087000008</v>
      </c>
    </row>
    <row r="15" spans="1:13">
      <c r="A15" s="8" t="s">
        <v>318</v>
      </c>
      <c r="I15" s="42">
        <f t="shared" si="2"/>
        <v>0</v>
      </c>
      <c r="J15" s="43">
        <f t="shared" si="3"/>
        <v>0</v>
      </c>
      <c r="K15" s="43">
        <f t="shared" si="4"/>
        <v>0</v>
      </c>
      <c r="L15" s="43">
        <f t="shared" si="5"/>
        <v>0</v>
      </c>
      <c r="M15" s="43">
        <f t="shared" si="6"/>
        <v>0</v>
      </c>
    </row>
    <row r="16" spans="1:13">
      <c r="A16" s="8" t="s">
        <v>319</v>
      </c>
      <c r="C16">
        <f>SUM(C13:C15)</f>
        <v>1784.6000000000001</v>
      </c>
      <c r="D16">
        <f t="shared" ref="D16:G16" si="14">SUM(D13:D15)</f>
        <v>2792.31</v>
      </c>
      <c r="E16">
        <f t="shared" si="14"/>
        <v>2993.29</v>
      </c>
      <c r="F16">
        <f t="shared" si="14"/>
        <v>2336.7999999999997</v>
      </c>
      <c r="G16">
        <f t="shared" si="14"/>
        <v>3046.8300000000004</v>
      </c>
      <c r="I16" s="42">
        <f t="shared" si="2"/>
        <v>2872.3137000000002</v>
      </c>
      <c r="J16" s="43">
        <f t="shared" si="3"/>
        <v>4334.6982747000002</v>
      </c>
      <c r="K16" s="43">
        <f t="shared" si="4"/>
        <v>4375.8906509999997</v>
      </c>
      <c r="L16" s="43">
        <f t="shared" si="5"/>
        <v>3790.5700159999997</v>
      </c>
      <c r="M16" s="43">
        <f t="shared" si="6"/>
        <v>4729.8074871000008</v>
      </c>
    </row>
    <row r="17" spans="1:13">
      <c r="A17" s="8"/>
      <c r="I17" s="42"/>
      <c r="J17" s="43"/>
      <c r="K17" s="43"/>
      <c r="L17" s="43"/>
      <c r="M17" s="43"/>
    </row>
    <row r="18" spans="1:13">
      <c r="A18" s="8" t="s">
        <v>320</v>
      </c>
      <c r="C18" s="8">
        <f t="shared" ref="C18:G20" si="15">C3+C8+C13</f>
        <v>1275.72</v>
      </c>
      <c r="D18" s="8">
        <f t="shared" si="15"/>
        <v>533.33999999999992</v>
      </c>
      <c r="E18" s="8">
        <f t="shared" si="15"/>
        <v>751.45</v>
      </c>
      <c r="F18" s="8">
        <f t="shared" si="15"/>
        <v>410</v>
      </c>
      <c r="G18" s="8">
        <f>G3+G8+G13</f>
        <v>440</v>
      </c>
      <c r="I18" s="42">
        <f t="shared" si="2"/>
        <v>2053.2713399999998</v>
      </c>
      <c r="J18" s="43">
        <f t="shared" si="3"/>
        <v>827.94101579999983</v>
      </c>
      <c r="K18" s="43">
        <f t="shared" si="4"/>
        <v>1098.5447550000001</v>
      </c>
      <c r="L18" s="43">
        <f t="shared" si="5"/>
        <v>665.06920000000002</v>
      </c>
      <c r="M18" s="43">
        <f t="shared" si="6"/>
        <v>683.04280000000006</v>
      </c>
    </row>
    <row r="19" spans="1:13">
      <c r="A19" s="8" t="s">
        <v>321</v>
      </c>
      <c r="C19" s="8">
        <f t="shared" si="15"/>
        <v>1320.6200000000001</v>
      </c>
      <c r="D19" s="8">
        <f t="shared" si="15"/>
        <v>2851.37</v>
      </c>
      <c r="E19" s="8">
        <f t="shared" si="15"/>
        <v>2963.92</v>
      </c>
      <c r="F19" s="8">
        <f t="shared" si="15"/>
        <v>2401.16</v>
      </c>
      <c r="G19" s="8">
        <f>G4+G9+G14</f>
        <v>3189.03</v>
      </c>
      <c r="I19" s="42">
        <f t="shared" si="2"/>
        <v>2125.5378900000001</v>
      </c>
      <c r="J19" s="43">
        <f t="shared" si="3"/>
        <v>4426.3812468999995</v>
      </c>
      <c r="K19" s="43">
        <f t="shared" si="4"/>
        <v>4332.9546479999999</v>
      </c>
      <c r="L19" s="43">
        <f t="shared" si="5"/>
        <v>3894.9696591999996</v>
      </c>
      <c r="M19" s="43">
        <f t="shared" si="6"/>
        <v>4950.5545011000004</v>
      </c>
    </row>
    <row r="20" spans="1:13">
      <c r="A20" s="8" t="s">
        <v>322</v>
      </c>
      <c r="C20" s="8">
        <f t="shared" si="15"/>
        <v>24.79</v>
      </c>
      <c r="D20" s="8">
        <f t="shared" si="15"/>
        <v>9.64</v>
      </c>
      <c r="E20" s="8">
        <f t="shared" si="15"/>
        <v>12.4</v>
      </c>
      <c r="F20" s="8">
        <f t="shared" si="15"/>
        <v>8.26</v>
      </c>
      <c r="G20" s="8">
        <f t="shared" si="15"/>
        <v>8.26</v>
      </c>
      <c r="I20" s="42">
        <f t="shared" si="2"/>
        <v>39.899504999999998</v>
      </c>
      <c r="J20" s="43">
        <f t="shared" si="3"/>
        <v>14.964846800000002</v>
      </c>
      <c r="K20" s="43">
        <f t="shared" si="4"/>
        <v>18.127559999999999</v>
      </c>
      <c r="L20" s="43">
        <f t="shared" si="5"/>
        <v>13.398711199999999</v>
      </c>
      <c r="M20" s="43">
        <f t="shared" si="6"/>
        <v>12.8225762</v>
      </c>
    </row>
    <row r="21" spans="1:13">
      <c r="A21" s="8" t="s">
        <v>412</v>
      </c>
      <c r="C21" s="8">
        <f t="shared" ref="C21:F21" si="16">SUM(C18:C20)</f>
        <v>2621.13</v>
      </c>
      <c r="D21" s="8">
        <f t="shared" si="16"/>
        <v>3394.35</v>
      </c>
      <c r="E21" s="8">
        <f t="shared" si="16"/>
        <v>3727.77</v>
      </c>
      <c r="F21" s="8">
        <f t="shared" si="16"/>
        <v>2819.42</v>
      </c>
      <c r="G21" s="8">
        <f>SUM(G18:G20)</f>
        <v>3637.2900000000004</v>
      </c>
      <c r="I21" s="42">
        <f t="shared" si="2"/>
        <v>4218.7087350000002</v>
      </c>
      <c r="J21" s="43">
        <f t="shared" si="3"/>
        <v>5269.2871095</v>
      </c>
      <c r="K21" s="43">
        <f t="shared" si="4"/>
        <v>5449.6269629999997</v>
      </c>
      <c r="L21" s="43">
        <f t="shared" si="5"/>
        <v>4573.4375704000004</v>
      </c>
      <c r="M21" s="43">
        <f t="shared" si="6"/>
        <v>5646.4198773000007</v>
      </c>
    </row>
    <row r="25" spans="1:13">
      <c r="A25" s="5" t="s">
        <v>41</v>
      </c>
    </row>
    <row r="26" spans="1:13" ht="15">
      <c r="A26" s="1" t="s">
        <v>107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485</v>
      </c>
      <c r="B27" s="28"/>
      <c r="C27" s="28"/>
      <c r="D27" s="28"/>
      <c r="E27" s="28"/>
      <c r="F27" s="28"/>
      <c r="G27" s="28"/>
      <c r="H27" s="28"/>
    </row>
    <row r="28" spans="1:13">
      <c r="A28" s="27" t="s">
        <v>361</v>
      </c>
      <c r="B28" s="27"/>
      <c r="C28" s="27"/>
      <c r="D28" s="27"/>
      <c r="E28" s="27"/>
      <c r="F28" s="27"/>
      <c r="G28" s="27"/>
      <c r="H28" s="27"/>
    </row>
    <row r="29" spans="1:13" ht="15">
      <c r="A29" s="1" t="s">
        <v>69</v>
      </c>
      <c r="B29" s="1" t="s">
        <v>311</v>
      </c>
      <c r="C29" s="1">
        <v>54.06</v>
      </c>
      <c r="D29" s="1">
        <v>0</v>
      </c>
      <c r="E29" s="1">
        <v>0</v>
      </c>
      <c r="F29" s="1">
        <v>0</v>
      </c>
      <c r="G29" s="1">
        <v>0</v>
      </c>
      <c r="H29" s="29" t="s">
        <v>395</v>
      </c>
    </row>
    <row r="30" spans="1:13">
      <c r="A30" s="27" t="s">
        <v>431</v>
      </c>
      <c r="B30" s="27"/>
      <c r="C30" s="27"/>
      <c r="D30" s="27"/>
      <c r="E30" s="27"/>
      <c r="F30" s="27"/>
      <c r="G30" s="27"/>
      <c r="H30" s="27"/>
    </row>
    <row r="31" spans="1:13" ht="15">
      <c r="A31" s="1" t="s">
        <v>70</v>
      </c>
      <c r="B31" s="1" t="s">
        <v>311</v>
      </c>
      <c r="C31" s="1">
        <v>0</v>
      </c>
      <c r="D31" s="1">
        <v>0</v>
      </c>
      <c r="E31" s="1">
        <v>1.45</v>
      </c>
      <c r="F31" s="1">
        <v>0</v>
      </c>
      <c r="G31" s="1">
        <v>0</v>
      </c>
      <c r="H31" s="29" t="s">
        <v>395</v>
      </c>
    </row>
    <row r="32" spans="1:13">
      <c r="A32" s="28" t="s">
        <v>434</v>
      </c>
      <c r="B32" s="28"/>
      <c r="C32" s="28"/>
      <c r="D32" s="28"/>
      <c r="E32" s="28"/>
      <c r="F32" s="28"/>
      <c r="G32" s="28"/>
      <c r="H32" s="28"/>
    </row>
    <row r="33" spans="1:8">
      <c r="A33" s="27" t="s">
        <v>435</v>
      </c>
      <c r="B33" s="27"/>
      <c r="C33" s="27"/>
      <c r="D33" s="27"/>
      <c r="E33" s="27"/>
      <c r="F33" s="27"/>
      <c r="G33" s="27"/>
      <c r="H33" s="27"/>
    </row>
    <row r="34" spans="1:8" ht="15">
      <c r="A34" s="1" t="s">
        <v>105</v>
      </c>
      <c r="B34" s="1" t="s">
        <v>311</v>
      </c>
      <c r="C34" s="1">
        <v>51.6</v>
      </c>
      <c r="D34" s="1">
        <v>56.28</v>
      </c>
      <c r="E34" s="1">
        <v>58.5</v>
      </c>
      <c r="F34" s="1">
        <v>47.39</v>
      </c>
      <c r="G34" s="1">
        <v>62.94</v>
      </c>
      <c r="H34" s="29"/>
    </row>
    <row r="35" spans="1:8">
      <c r="A35" s="28" t="s">
        <v>347</v>
      </c>
      <c r="B35" s="28"/>
      <c r="C35" s="28"/>
      <c r="D35" s="28"/>
      <c r="E35" s="28"/>
      <c r="F35" s="28"/>
      <c r="G35" s="28"/>
      <c r="H35" s="28"/>
    </row>
    <row r="36" spans="1:8" ht="15">
      <c r="A36" s="1" t="s">
        <v>106</v>
      </c>
      <c r="B36" s="1" t="s">
        <v>311</v>
      </c>
      <c r="C36" s="1">
        <v>24.79</v>
      </c>
      <c r="D36" s="1">
        <v>9.64</v>
      </c>
      <c r="E36" s="1">
        <v>12.4</v>
      </c>
      <c r="F36" s="1">
        <v>8.26</v>
      </c>
      <c r="G36" s="1">
        <v>8.26</v>
      </c>
      <c r="H36" s="29"/>
    </row>
    <row r="39" spans="1:8">
      <c r="A39" s="5" t="s">
        <v>46</v>
      </c>
    </row>
    <row r="40" spans="1:8" ht="15">
      <c r="A40" s="1" t="s">
        <v>107</v>
      </c>
      <c r="B40" s="1" t="s">
        <v>481</v>
      </c>
      <c r="C40" s="1" t="s">
        <v>482</v>
      </c>
      <c r="D40" s="1" t="s">
        <v>483</v>
      </c>
      <c r="E40" s="1">
        <v>2008</v>
      </c>
      <c r="F40" s="1">
        <v>2009</v>
      </c>
      <c r="G40" s="1" t="s">
        <v>484</v>
      </c>
      <c r="H40" s="29"/>
    </row>
    <row r="41" spans="1:8">
      <c r="A41" s="28" t="s">
        <v>485</v>
      </c>
      <c r="B41" s="28"/>
      <c r="C41" s="28"/>
      <c r="D41" s="28"/>
      <c r="E41" s="28"/>
      <c r="F41" s="28"/>
      <c r="G41" s="28"/>
      <c r="H41" s="28"/>
    </row>
    <row r="42" spans="1:8">
      <c r="A42" s="27" t="s">
        <v>486</v>
      </c>
      <c r="B42" s="27"/>
      <c r="C42" s="27"/>
      <c r="D42" s="27"/>
      <c r="E42" s="27"/>
      <c r="F42" s="27"/>
      <c r="G42" s="27"/>
      <c r="H42" s="27"/>
    </row>
    <row r="43" spans="1:8" ht="15">
      <c r="A43" s="1" t="s">
        <v>42</v>
      </c>
      <c r="B43" s="1" t="s">
        <v>311</v>
      </c>
      <c r="C43" s="1">
        <v>33.11</v>
      </c>
      <c r="D43" s="1">
        <v>32.61</v>
      </c>
      <c r="E43" s="1">
        <v>32.61</v>
      </c>
      <c r="F43" s="1">
        <v>32.61</v>
      </c>
      <c r="G43" s="1">
        <v>32.61</v>
      </c>
      <c r="H43" s="29"/>
    </row>
    <row r="44" spans="1:8" ht="15">
      <c r="A44" s="1" t="s">
        <v>43</v>
      </c>
      <c r="B44" s="1" t="s">
        <v>311</v>
      </c>
      <c r="C44" s="1">
        <v>295.68</v>
      </c>
      <c r="D44" s="1">
        <v>248.17</v>
      </c>
      <c r="E44" s="1">
        <v>364.1</v>
      </c>
      <c r="F44" s="1">
        <v>179.33</v>
      </c>
      <c r="G44" s="1">
        <v>201.07</v>
      </c>
      <c r="H44" s="29"/>
    </row>
    <row r="45" spans="1:8" ht="15">
      <c r="A45" s="1" t="s">
        <v>44</v>
      </c>
      <c r="B45" s="1" t="s">
        <v>311</v>
      </c>
      <c r="C45" s="1">
        <v>138.81</v>
      </c>
      <c r="D45" s="1">
        <v>0</v>
      </c>
      <c r="E45" s="1">
        <v>0</v>
      </c>
      <c r="F45" s="1">
        <v>0</v>
      </c>
      <c r="G45" s="1">
        <v>0</v>
      </c>
      <c r="H45" s="29" t="s">
        <v>396</v>
      </c>
    </row>
    <row r="46" spans="1:8">
      <c r="A46" s="27" t="s">
        <v>431</v>
      </c>
      <c r="B46" s="27"/>
      <c r="C46" s="27"/>
      <c r="D46" s="27"/>
      <c r="E46" s="27"/>
      <c r="F46" s="27"/>
      <c r="G46" s="27"/>
      <c r="H46" s="27"/>
    </row>
    <row r="47" spans="1:8" ht="15">
      <c r="A47" s="1" t="s">
        <v>45</v>
      </c>
      <c r="B47" s="1" t="s">
        <v>311</v>
      </c>
      <c r="C47" s="1">
        <v>117.42</v>
      </c>
      <c r="D47" s="1">
        <v>0</v>
      </c>
      <c r="E47" s="1">
        <v>0</v>
      </c>
      <c r="F47" s="1">
        <v>0</v>
      </c>
      <c r="G47" s="1">
        <v>0</v>
      </c>
      <c r="H47" s="29" t="s">
        <v>396</v>
      </c>
    </row>
    <row r="48" spans="1:8">
      <c r="A48" s="28" t="s">
        <v>434</v>
      </c>
      <c r="B48" s="28"/>
      <c r="C48" s="28"/>
      <c r="D48" s="28"/>
      <c r="E48" s="28"/>
      <c r="F48" s="28"/>
      <c r="G48" s="28"/>
      <c r="H48" s="28"/>
    </row>
    <row r="49" spans="1:8">
      <c r="A49" s="27" t="s">
        <v>435</v>
      </c>
      <c r="B49" s="27"/>
      <c r="C49" s="27"/>
      <c r="D49" s="27"/>
      <c r="E49" s="27"/>
      <c r="F49" s="27"/>
      <c r="G49" s="27"/>
      <c r="H49" s="27"/>
    </row>
    <row r="50" spans="1:8" ht="15">
      <c r="A50" s="1" t="s">
        <v>105</v>
      </c>
      <c r="B50" s="1" t="s">
        <v>311</v>
      </c>
      <c r="C50" s="1">
        <v>121.06</v>
      </c>
      <c r="D50" s="1">
        <v>255.34</v>
      </c>
      <c r="E50" s="1">
        <v>265.42</v>
      </c>
      <c r="F50" s="1">
        <v>215.03</v>
      </c>
      <c r="G50" s="1">
        <v>285.58</v>
      </c>
      <c r="H50" s="29"/>
    </row>
    <row r="51" spans="1:8">
      <c r="A51" s="28" t="s">
        <v>349</v>
      </c>
      <c r="B51" s="28"/>
      <c r="C51" s="28"/>
      <c r="D51" s="28"/>
      <c r="E51" s="28"/>
      <c r="F51" s="28"/>
      <c r="G51" s="28"/>
      <c r="H51" s="28"/>
    </row>
    <row r="54" spans="1:8">
      <c r="A54" s="5" t="s">
        <v>48</v>
      </c>
    </row>
    <row r="55" spans="1:8" ht="15">
      <c r="A55" s="1" t="s">
        <v>107</v>
      </c>
      <c r="B55" s="1" t="s">
        <v>481</v>
      </c>
      <c r="C55" s="1" t="s">
        <v>482</v>
      </c>
      <c r="D55" s="1" t="s">
        <v>483</v>
      </c>
      <c r="E55" s="1">
        <v>2008</v>
      </c>
      <c r="F55" s="1">
        <v>2009</v>
      </c>
      <c r="G55" s="1" t="s">
        <v>484</v>
      </c>
      <c r="H55" s="29"/>
    </row>
    <row r="56" spans="1:8">
      <c r="A56" s="28" t="s">
        <v>485</v>
      </c>
      <c r="B56" s="28"/>
      <c r="C56" s="28"/>
      <c r="D56" s="28"/>
      <c r="E56" s="28"/>
      <c r="F56" s="28"/>
      <c r="G56" s="28"/>
      <c r="H56" s="28"/>
    </row>
    <row r="57" spans="1:8">
      <c r="A57" s="27" t="s">
        <v>486</v>
      </c>
      <c r="B57" s="27"/>
      <c r="C57" s="27"/>
      <c r="D57" s="27"/>
      <c r="E57" s="27"/>
      <c r="F57" s="27"/>
      <c r="G57" s="27"/>
      <c r="H57" s="27"/>
    </row>
    <row r="58" spans="1:8" ht="15">
      <c r="A58" s="1" t="s">
        <v>47</v>
      </c>
      <c r="B58" s="1" t="s">
        <v>311</v>
      </c>
      <c r="C58" s="1">
        <v>190</v>
      </c>
      <c r="D58" s="1">
        <v>16.670000000000002</v>
      </c>
      <c r="E58" s="1">
        <v>20</v>
      </c>
      <c r="F58" s="1">
        <v>20</v>
      </c>
      <c r="G58" s="1">
        <v>10</v>
      </c>
      <c r="H58" s="29"/>
    </row>
    <row r="59" spans="1:8" ht="15">
      <c r="A59" s="1" t="s">
        <v>42</v>
      </c>
      <c r="B59" s="1" t="s">
        <v>311</v>
      </c>
      <c r="C59" s="1">
        <v>25.22</v>
      </c>
      <c r="D59" s="1">
        <v>27.39</v>
      </c>
      <c r="E59" s="1">
        <v>27.39</v>
      </c>
      <c r="F59" s="1">
        <v>27.39</v>
      </c>
      <c r="G59" s="1">
        <v>27.39</v>
      </c>
      <c r="H59" s="29"/>
    </row>
    <row r="60" spans="1:8" ht="15">
      <c r="A60" s="1" t="s">
        <v>43</v>
      </c>
      <c r="B60" s="1" t="s">
        <v>311</v>
      </c>
      <c r="C60" s="1">
        <v>225.99</v>
      </c>
      <c r="D60" s="1">
        <v>208.5</v>
      </c>
      <c r="E60" s="1">
        <v>305.89999999999998</v>
      </c>
      <c r="F60" s="1">
        <v>150.66999999999999</v>
      </c>
      <c r="G60" s="1">
        <v>168.93</v>
      </c>
      <c r="H60" s="29"/>
    </row>
    <row r="61" spans="1:8" ht="15">
      <c r="A61" s="1" t="s">
        <v>44</v>
      </c>
      <c r="B61" s="1" t="s">
        <v>311</v>
      </c>
      <c r="C61" s="1">
        <v>106.19</v>
      </c>
      <c r="D61" s="1">
        <v>0</v>
      </c>
      <c r="E61" s="1">
        <v>0</v>
      </c>
      <c r="F61" s="1">
        <v>0</v>
      </c>
      <c r="G61" s="1">
        <v>0</v>
      </c>
      <c r="H61" s="29" t="s">
        <v>396</v>
      </c>
    </row>
    <row r="62" spans="1:8">
      <c r="A62" s="27" t="s">
        <v>431</v>
      </c>
      <c r="B62" s="27"/>
      <c r="C62" s="27"/>
      <c r="D62" s="27"/>
      <c r="E62" s="27"/>
      <c r="F62" s="27"/>
      <c r="G62" s="27"/>
      <c r="H62" s="27"/>
    </row>
    <row r="63" spans="1:8" ht="15">
      <c r="A63" s="1" t="s">
        <v>45</v>
      </c>
      <c r="B63" s="1" t="s">
        <v>311</v>
      </c>
      <c r="C63" s="1">
        <v>89.24</v>
      </c>
      <c r="D63" s="1">
        <v>0</v>
      </c>
      <c r="E63" s="1">
        <v>0</v>
      </c>
      <c r="F63" s="1">
        <v>0</v>
      </c>
      <c r="G63" s="1">
        <v>0</v>
      </c>
      <c r="H63" s="29" t="s">
        <v>396</v>
      </c>
    </row>
    <row r="64" spans="1:8">
      <c r="A64" s="28" t="s">
        <v>434</v>
      </c>
      <c r="B64" s="28"/>
      <c r="C64" s="28"/>
      <c r="D64" s="28"/>
      <c r="E64" s="28"/>
      <c r="F64" s="28"/>
      <c r="G64" s="28"/>
      <c r="H64" s="28"/>
    </row>
    <row r="65" spans="1:8">
      <c r="A65" s="27" t="s">
        <v>435</v>
      </c>
      <c r="B65" s="27"/>
      <c r="C65" s="27"/>
      <c r="D65" s="27"/>
      <c r="E65" s="27"/>
      <c r="F65" s="27"/>
      <c r="G65" s="27"/>
      <c r="H65" s="27"/>
    </row>
    <row r="66" spans="1:8" ht="15">
      <c r="A66" s="1" t="s">
        <v>105</v>
      </c>
      <c r="B66" s="1" t="s">
        <v>311</v>
      </c>
      <c r="C66" s="1">
        <v>1147.96</v>
      </c>
      <c r="D66" s="1">
        <v>2539.75</v>
      </c>
      <c r="E66" s="1">
        <v>2640</v>
      </c>
      <c r="F66" s="1">
        <v>2138.7399999999998</v>
      </c>
      <c r="G66" s="1">
        <v>2840.51</v>
      </c>
      <c r="H66" s="29"/>
    </row>
    <row r="67" spans="1:8">
      <c r="A67" s="28" t="s">
        <v>349</v>
      </c>
      <c r="B67" s="28"/>
      <c r="C67" s="28"/>
      <c r="D67" s="28"/>
      <c r="E67" s="28"/>
      <c r="F67" s="28"/>
      <c r="G67" s="28"/>
      <c r="H67" s="28"/>
    </row>
  </sheetData>
  <mergeCells count="1">
    <mergeCell ref="I1:J1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I84" sqref="I84"/>
    </sheetView>
  </sheetViews>
  <sheetFormatPr baseColWidth="10" defaultColWidth="46.28515625" defaultRowHeight="13" x14ac:dyDescent="0"/>
  <cols>
    <col min="1" max="1" width="50.140625" style="8" customWidth="1"/>
    <col min="2" max="2" width="9.140625" style="8" bestFit="1" customWidth="1"/>
    <col min="3" max="4" width="10.42578125" style="8" bestFit="1" customWidth="1"/>
    <col min="5" max="5" width="8" style="8" bestFit="1" customWidth="1"/>
    <col min="6" max="7" width="9" style="8" bestFit="1" customWidth="1"/>
    <col min="8" max="8" width="26.7109375" style="8" bestFit="1" customWidth="1"/>
    <col min="9" max="16384" width="46.28515625" style="8"/>
  </cols>
  <sheetData>
    <row r="1" spans="1:7" s="6" customFormat="1">
      <c r="A1" s="5" t="s">
        <v>399</v>
      </c>
    </row>
    <row r="2" spans="1:7">
      <c r="A2" s="6"/>
      <c r="B2" s="6"/>
      <c r="C2" s="7" t="s">
        <v>400</v>
      </c>
      <c r="D2" s="7" t="s">
        <v>483</v>
      </c>
      <c r="E2" s="7">
        <v>2008</v>
      </c>
      <c r="F2" s="7">
        <v>2009</v>
      </c>
      <c r="G2" s="7" t="s">
        <v>401</v>
      </c>
    </row>
    <row r="3" spans="1:7">
      <c r="A3" s="8" t="s">
        <v>402</v>
      </c>
      <c r="C3" s="8">
        <f>U.S.!C29+U.S.!C30+U.S.!C32+U.S.!C34+U.S.!C35</f>
        <v>1395.5</v>
      </c>
      <c r="D3" s="8">
        <f>U.S.!D29+U.S.!D30+U.S.!D32+U.S.!D34+U.S.!D35</f>
        <v>710.74</v>
      </c>
      <c r="E3" s="8">
        <f>U.S.!E29+U.S.!E30+U.S.!E32+U.S.!E34+U.S.!E35</f>
        <v>1147.68</v>
      </c>
      <c r="F3" s="8">
        <f>U.S.!F29+U.S.!F30+U.S.!F32+U.S.!F34+U.S.!F35</f>
        <v>311.38</v>
      </c>
      <c r="G3" s="8">
        <f>U.S.!G29+U.S.!G30+U.S.!G32+U.S.!G34+U.S.!G35</f>
        <v>673.16000000000008</v>
      </c>
    </row>
    <row r="4" spans="1:7">
      <c r="A4" s="8" t="s">
        <v>403</v>
      </c>
      <c r="C4" s="8">
        <f>U.S.!C38+U.S.!C39+U.S.!C40+U.S.!C41</f>
        <v>0</v>
      </c>
      <c r="D4" s="8">
        <f>U.S.!D38+U.S.!D39+U.S.!D40+U.S.!D41</f>
        <v>296.52000000000004</v>
      </c>
      <c r="E4" s="8">
        <f>U.S.!E38+U.S.!E39+U.S.!E40+U.S.!E41</f>
        <v>176.52</v>
      </c>
      <c r="F4" s="8">
        <f>U.S.!F38+U.S.!F39+U.S.!F40+U.S.!F41</f>
        <v>326.52000000000004</v>
      </c>
      <c r="G4" s="8">
        <f>U.S.!G38+U.S.!G39+U.S.!G40+U.S.!G41</f>
        <v>386.52000000000004</v>
      </c>
    </row>
    <row r="5" spans="1:7">
      <c r="A5" s="8" t="s">
        <v>404</v>
      </c>
      <c r="C5" s="8">
        <f>U.S.!C43</f>
        <v>373.31</v>
      </c>
      <c r="D5" s="8">
        <f>U.S.!D43</f>
        <v>1866.92</v>
      </c>
      <c r="E5" s="8">
        <f>U.S.!E43</f>
        <v>686.4</v>
      </c>
      <c r="F5" s="8">
        <f>U.S.!F43</f>
        <v>1008.75</v>
      </c>
      <c r="G5" s="8">
        <f>U.S.!G43</f>
        <v>3905.6</v>
      </c>
    </row>
    <row r="6" spans="1:7">
      <c r="A6" s="8" t="s">
        <v>405</v>
      </c>
    </row>
    <row r="8" spans="1:7">
      <c r="A8" s="8" t="s">
        <v>406</v>
      </c>
      <c r="C8" s="8">
        <f>U.S.!C50+U.S.!C51+U.S.!C52+U.S.!C54+U.S.!C56+U.S.!C57+U.S.!C58+U.S.!C59+U.S.!C60+U.S.!C61+U.S.!C62+U.S.!C63+U.S.!C65</f>
        <v>321.26</v>
      </c>
      <c r="D8" s="8">
        <f>U.S.!D50+U.S.!D51+U.S.!D52+U.S.!D54+U.S.!D56+U.S.!D57+U.S.!D58+U.S.!D59+U.S.!D60+U.S.!D61+U.S.!D62+U.S.!D63+U.S.!D65</f>
        <v>1709.7099999999996</v>
      </c>
      <c r="E8" s="8">
        <f>U.S.!E50+U.S.!E51+U.S.!E52+U.S.!E54+U.S.!E56+U.S.!E57+U.S.!E58+U.S.!E59+U.S.!E60+U.S.!E61+U.S.!E62+U.S.!E63+U.S.!E65</f>
        <v>1598.94</v>
      </c>
      <c r="F8" s="8">
        <f>U.S.!F50+U.S.!F51+U.S.!F52+U.S.!F54+U.S.!F56+U.S.!F57+U.S.!F58+U.S.!F59+U.S.!F60+U.S.!F61+U.S.!F62+U.S.!F63+U.S.!F65</f>
        <v>1917.21</v>
      </c>
      <c r="G8" s="8">
        <f>U.S.!G50+U.S.!G51+U.S.!G52+U.S.!G54+U.S.!G56+U.S.!G57+U.S.!G58+U.S.!G59+U.S.!G60+U.S.!G61+U.S.!G62+U.S.!G63+U.S.!G65</f>
        <v>1613.02</v>
      </c>
    </row>
    <row r="9" spans="1:7">
      <c r="A9" s="8" t="s">
        <v>313</v>
      </c>
      <c r="C9" s="8">
        <f>U.S.!C51+U.S.!C52+U.S.!C53+U.S.!C55+U.S.!C57+U.S.!C58+U.S.!C59+U.S.!C60+U.S.!C61+U.S.!C62+U.S.!C63+U.S.!C64+U.S.!C66</f>
        <v>246.04000000000002</v>
      </c>
      <c r="D9" s="8">
        <f>U.S.!D51+U.S.!D52+U.S.!D53+U.S.!D55+U.S.!D57+U.S.!D58+U.S.!D59+U.S.!D60+U.S.!D61+U.S.!D62+U.S.!D63+U.S.!D64+U.S.!D66</f>
        <v>1087.47</v>
      </c>
      <c r="E9" s="8">
        <f>U.S.!E51+U.S.!E52+U.S.!E53+U.S.!E55+U.S.!E57+U.S.!E58+U.S.!E59+U.S.!E60+U.S.!E61+U.S.!E62+U.S.!E63+U.S.!E64+U.S.!E66</f>
        <v>790.45999999999992</v>
      </c>
      <c r="F9" s="8">
        <f>U.S.!F51+U.S.!F52+U.S.!F53+U.S.!F55+U.S.!F57+U.S.!F58+U.S.!F59+U.S.!F60+U.S.!F61+U.S.!F62+U.S.!F63+U.S.!F64+U.S.!F66</f>
        <v>1173.3599999999999</v>
      </c>
      <c r="G9" s="8">
        <f>U.S.!G51+U.S.!G52+U.S.!G53+U.S.!G55+U.S.!G57+U.S.!G58+U.S.!G59+U.S.!G60+U.S.!G61+U.S.!G62+U.S.!G63+U.S.!G64+U.S.!G66</f>
        <v>1298.6199999999999</v>
      </c>
    </row>
    <row r="10" spans="1:7">
      <c r="A10" s="8" t="s">
        <v>314</v>
      </c>
      <c r="C10" s="8">
        <f>U.S.!C52+U.S.!C53+U.S.!C54+U.S.!C56+U.S.!C58+U.S.!C59+U.S.!C60+U.S.!C61+U.S.!C62+U.S.!C63+U.S.!C64+U.S.!C65+U.S.!C67</f>
        <v>180.33</v>
      </c>
      <c r="D10" s="8">
        <f>U.S.!D52+U.S.!D53+U.S.!D54+U.S.!D56+U.S.!D58+U.S.!D59+U.S.!D60+U.S.!D61+U.S.!D62+U.S.!D63+U.S.!D64+U.S.!D65+U.S.!D67</f>
        <v>1429.9199999999996</v>
      </c>
      <c r="E10" s="8">
        <f>U.S.!E52+U.S.!E53+U.S.!E54+U.S.!E56+U.S.!E58+U.S.!E59+U.S.!E60+U.S.!E61+U.S.!E62+U.S.!E63+U.S.!E64+U.S.!E65+U.S.!E67</f>
        <v>1239.8999999999999</v>
      </c>
      <c r="F10" s="8">
        <f>U.S.!F52+U.S.!F53+U.S.!F54+U.S.!F56+U.S.!F58+U.S.!F59+U.S.!F60+U.S.!F61+U.S.!F62+U.S.!F63+U.S.!F64+U.S.!F65+U.S.!F67</f>
        <v>1758.3400000000001</v>
      </c>
      <c r="G10" s="8">
        <f>U.S.!G52+U.S.!G53+U.S.!G54+U.S.!G56+U.S.!G58+U.S.!G59+U.S.!G60+U.S.!G61+U.S.!G62+U.S.!G63+U.S.!G64+U.S.!G65+U.S.!G67</f>
        <v>1291.53</v>
      </c>
    </row>
    <row r="11" spans="1:7">
      <c r="A11" s="8" t="s">
        <v>315</v>
      </c>
    </row>
    <row r="13" spans="1:7">
      <c r="A13" s="8" t="s">
        <v>316</v>
      </c>
      <c r="C13" s="8">
        <f>U.S.!C92+U.S.!C93+U.S.!C94+U.S.!C95+U.S.!C97+U.S.!C99+U.S.!C100+U.S.!C101+U.S.!C102+U.S.!C103+U.S.!C104+U.S.!C105+U.S.!C106+U.S.!C108</f>
        <v>559.86</v>
      </c>
      <c r="D13" s="8">
        <f>U.S.!D92+U.S.!D93+U.S.!D94+U.S.!D95+U.S.!D97+U.S.!D99+U.S.!D100+U.S.!D101+U.S.!D102+U.S.!D103+U.S.!D104+U.S.!D105+U.S.!D106+U.S.!D108</f>
        <v>2710.7</v>
      </c>
      <c r="E13" s="8">
        <f>U.S.!E92+U.S.!E93+U.S.!E94+U.S.!E95+U.S.!E97+U.S.!E99+U.S.!E100+U.S.!E101+U.S.!E102+U.S.!E103+U.S.!E104+U.S.!E105+U.S.!E106+U.S.!E108</f>
        <v>2636.8600000000006</v>
      </c>
      <c r="F13" s="8">
        <f>U.S.!F92+U.S.!F93+U.S.!F94+U.S.!F95+U.S.!F97+U.S.!F99+U.S.!F100+U.S.!F101+U.S.!F102+U.S.!F103+U.S.!F104+U.S.!F105+U.S.!F106+U.S.!F108</f>
        <v>2841.1699999999996</v>
      </c>
      <c r="G13" s="8">
        <f>U.S.!G92+U.S.!G93+U.S.!G94+U.S.!G95+U.S.!G97+U.S.!G99+U.S.!G100+U.S.!G101+U.S.!G102+U.S.!G103+U.S.!G104+U.S.!G105+U.S.!G106+U.S.!G108</f>
        <v>2635.7300000000005</v>
      </c>
    </row>
    <row r="14" spans="1:7">
      <c r="A14" s="8" t="s">
        <v>317</v>
      </c>
      <c r="C14" s="8">
        <f>U.S.!C111+U.S.!C112+U.S.!C113+U.S.!C114+U.S.!C115</f>
        <v>1200.6399999999999</v>
      </c>
      <c r="D14" s="8">
        <f>U.S.!D111+U.S.!D112+U.S.!D113+U.S.!D114+U.S.!D115</f>
        <v>2608.12</v>
      </c>
      <c r="E14" s="8">
        <f>U.S.!E111+U.S.!E112+U.S.!E113+U.S.!E114+U.S.!E115</f>
        <v>1526</v>
      </c>
      <c r="F14" s="8">
        <f>U.S.!F111+U.S.!F112+U.S.!F113+U.S.!F114+U.S.!F115</f>
        <v>3149.58</v>
      </c>
      <c r="G14" s="8">
        <f>U.S.!G111+U.S.!G112+U.S.!G113+U.S.!G114+U.S.!G115</f>
        <v>3157.06</v>
      </c>
    </row>
    <row r="15" spans="1:7">
      <c r="A15" s="8" t="s">
        <v>318</v>
      </c>
      <c r="C15" s="8">
        <f>U.S.!C117</f>
        <v>64.56</v>
      </c>
      <c r="D15" s="8">
        <f>U.S.!D117</f>
        <v>61.88</v>
      </c>
      <c r="E15" s="8">
        <f>U.S.!E117</f>
        <v>30.33</v>
      </c>
      <c r="F15" s="8">
        <f>U.S.!F117</f>
        <v>29.24</v>
      </c>
      <c r="G15" s="8">
        <f>U.S.!G117</f>
        <v>126.08</v>
      </c>
    </row>
    <row r="16" spans="1:7">
      <c r="A16" s="8" t="s">
        <v>319</v>
      </c>
    </row>
    <row r="18" spans="1:8">
      <c r="A18" s="8" t="s">
        <v>320</v>
      </c>
      <c r="C18" s="8">
        <f t="shared" ref="C18:F18" si="0">C3+C8+C13</f>
        <v>2276.62</v>
      </c>
      <c r="D18" s="8">
        <f t="shared" si="0"/>
        <v>5131.1499999999996</v>
      </c>
      <c r="E18" s="8">
        <f t="shared" si="0"/>
        <v>5383.4800000000005</v>
      </c>
      <c r="F18" s="8">
        <f t="shared" si="0"/>
        <v>5069.76</v>
      </c>
      <c r="G18" s="8">
        <f>G3+G8+G13</f>
        <v>4921.9100000000008</v>
      </c>
    </row>
    <row r="19" spans="1:8">
      <c r="A19" s="8" t="s">
        <v>321</v>
      </c>
      <c r="C19" s="8">
        <f t="shared" ref="C19:F20" si="1">C4+C9+C14</f>
        <v>1446.6799999999998</v>
      </c>
      <c r="D19" s="8">
        <f t="shared" si="1"/>
        <v>3992.1099999999997</v>
      </c>
      <c r="E19" s="8">
        <f t="shared" si="1"/>
        <v>2492.98</v>
      </c>
      <c r="F19" s="8">
        <f t="shared" si="1"/>
        <v>4649.46</v>
      </c>
      <c r="G19" s="8">
        <f>G4+G9+G14</f>
        <v>4842.2</v>
      </c>
    </row>
    <row r="20" spans="1:8">
      <c r="A20" s="8" t="s">
        <v>322</v>
      </c>
      <c r="C20" s="8">
        <f t="shared" si="1"/>
        <v>618.20000000000005</v>
      </c>
      <c r="D20" s="8">
        <f t="shared" si="1"/>
        <v>3358.72</v>
      </c>
      <c r="E20" s="8">
        <f t="shared" si="1"/>
        <v>1956.6299999999997</v>
      </c>
      <c r="F20" s="8">
        <f t="shared" si="1"/>
        <v>2796.33</v>
      </c>
      <c r="G20" s="8">
        <f t="shared" ref="G20" si="2">G5+G10+G15</f>
        <v>5323.21</v>
      </c>
    </row>
    <row r="21" spans="1:8">
      <c r="A21" s="8" t="s">
        <v>526</v>
      </c>
      <c r="C21" s="8">
        <f t="shared" ref="C21:F21" si="3">SUM(C18:C20)</f>
        <v>4341.5</v>
      </c>
      <c r="D21" s="8">
        <f t="shared" si="3"/>
        <v>12481.979999999998</v>
      </c>
      <c r="E21" s="8">
        <f t="shared" si="3"/>
        <v>9833.09</v>
      </c>
      <c r="F21" s="8">
        <f t="shared" si="3"/>
        <v>12515.550000000001</v>
      </c>
      <c r="G21" s="8">
        <f>SUM(G18:G20)</f>
        <v>15087.32</v>
      </c>
    </row>
    <row r="25" spans="1:8" s="10" customFormat="1">
      <c r="A25" s="9" t="s">
        <v>355</v>
      </c>
    </row>
    <row r="26" spans="1:8">
      <c r="A26" s="7" t="s">
        <v>480</v>
      </c>
      <c r="B26" s="7" t="s">
        <v>481</v>
      </c>
      <c r="C26" s="7" t="s">
        <v>413</v>
      </c>
      <c r="D26" s="7" t="s">
        <v>483</v>
      </c>
      <c r="E26" s="7">
        <v>2008</v>
      </c>
      <c r="F26" s="7">
        <v>2009</v>
      </c>
      <c r="G26" s="7" t="s">
        <v>414</v>
      </c>
    </row>
    <row r="27" spans="1:8" s="11" customFormat="1">
      <c r="A27" s="78" t="s">
        <v>485</v>
      </c>
      <c r="B27" s="78"/>
      <c r="C27" s="78"/>
      <c r="D27" s="78"/>
      <c r="E27" s="78"/>
      <c r="F27" s="78"/>
      <c r="G27" s="78"/>
    </row>
    <row r="28" spans="1:8">
      <c r="A28" s="77" t="s">
        <v>486</v>
      </c>
      <c r="B28" s="77"/>
      <c r="C28" s="77"/>
      <c r="D28" s="77"/>
      <c r="E28" s="77"/>
      <c r="F28" s="77"/>
      <c r="G28" s="77"/>
    </row>
    <row r="29" spans="1:8">
      <c r="A29" s="7" t="s">
        <v>487</v>
      </c>
      <c r="B29" s="7" t="s">
        <v>488</v>
      </c>
      <c r="C29" s="7">
        <v>1143.33</v>
      </c>
      <c r="D29" s="7">
        <v>273.33</v>
      </c>
      <c r="E29" s="7">
        <v>590</v>
      </c>
      <c r="F29" s="7">
        <v>60</v>
      </c>
      <c r="G29" s="7">
        <v>170</v>
      </c>
    </row>
    <row r="30" spans="1:8">
      <c r="A30" s="7" t="s">
        <v>489</v>
      </c>
      <c r="B30" s="7" t="s">
        <v>490</v>
      </c>
      <c r="C30" s="7">
        <v>0</v>
      </c>
      <c r="D30" s="7">
        <v>37</v>
      </c>
      <c r="E30" s="7">
        <v>37</v>
      </c>
      <c r="F30" s="7">
        <v>37</v>
      </c>
      <c r="G30" s="7">
        <v>37</v>
      </c>
      <c r="H30" s="8" t="s">
        <v>415</v>
      </c>
    </row>
    <row r="31" spans="1:8">
      <c r="A31" s="77" t="s">
        <v>274</v>
      </c>
      <c r="B31" s="77"/>
      <c r="C31" s="77"/>
      <c r="D31" s="77"/>
      <c r="E31" s="77"/>
      <c r="F31" s="77"/>
      <c r="G31" s="77"/>
    </row>
    <row r="32" spans="1:8">
      <c r="A32" s="7" t="s">
        <v>389</v>
      </c>
      <c r="B32" s="7" t="s">
        <v>488</v>
      </c>
      <c r="C32" s="7">
        <v>90</v>
      </c>
      <c r="D32" s="7">
        <v>76.67</v>
      </c>
      <c r="E32" s="7">
        <v>110</v>
      </c>
      <c r="F32" s="7">
        <v>70</v>
      </c>
      <c r="G32" s="7">
        <v>50</v>
      </c>
    </row>
    <row r="33" spans="1:8">
      <c r="A33" s="77" t="s">
        <v>431</v>
      </c>
      <c r="B33" s="77"/>
      <c r="C33" s="77"/>
      <c r="D33" s="77"/>
      <c r="E33" s="77"/>
      <c r="F33" s="77"/>
      <c r="G33" s="77"/>
    </row>
    <row r="34" spans="1:8">
      <c r="A34" s="7" t="s">
        <v>432</v>
      </c>
      <c r="B34" s="7" t="s">
        <v>488</v>
      </c>
      <c r="C34" s="7">
        <v>0</v>
      </c>
      <c r="D34" s="7">
        <v>6.67</v>
      </c>
      <c r="E34" s="7">
        <v>20</v>
      </c>
      <c r="F34" s="7">
        <v>0</v>
      </c>
      <c r="G34" s="7">
        <v>0</v>
      </c>
      <c r="H34" s="8" t="s">
        <v>275</v>
      </c>
    </row>
    <row r="35" spans="1:8">
      <c r="A35" s="7" t="s">
        <v>433</v>
      </c>
      <c r="B35" s="7" t="s">
        <v>488</v>
      </c>
      <c r="C35" s="7">
        <v>162.16999999999999</v>
      </c>
      <c r="D35" s="7">
        <v>317.07</v>
      </c>
      <c r="E35" s="7">
        <v>390.68</v>
      </c>
      <c r="F35" s="7">
        <v>144.38</v>
      </c>
      <c r="G35" s="7">
        <v>416.16</v>
      </c>
    </row>
    <row r="36" spans="1:8" s="11" customFormat="1">
      <c r="A36" s="78" t="s">
        <v>434</v>
      </c>
      <c r="B36" s="78"/>
      <c r="C36" s="78"/>
      <c r="D36" s="78"/>
      <c r="E36" s="78"/>
      <c r="F36" s="78"/>
      <c r="G36" s="78"/>
    </row>
    <row r="37" spans="1:8">
      <c r="A37" s="77" t="s">
        <v>435</v>
      </c>
      <c r="B37" s="77"/>
      <c r="C37" s="77"/>
      <c r="D37" s="77"/>
      <c r="E37" s="77"/>
      <c r="F37" s="77"/>
      <c r="G37" s="77"/>
    </row>
    <row r="38" spans="1:8">
      <c r="A38" s="7" t="s">
        <v>343</v>
      </c>
      <c r="B38" s="7" t="s">
        <v>488</v>
      </c>
      <c r="C38" s="7">
        <v>0</v>
      </c>
      <c r="D38" s="7">
        <v>150</v>
      </c>
      <c r="E38" s="7">
        <v>30</v>
      </c>
      <c r="F38" s="7">
        <v>180</v>
      </c>
      <c r="G38" s="7">
        <v>240</v>
      </c>
      <c r="H38" s="8" t="s">
        <v>364</v>
      </c>
    </row>
    <row r="39" spans="1:8">
      <c r="A39" s="7" t="s">
        <v>344</v>
      </c>
      <c r="B39" s="7" t="s">
        <v>488</v>
      </c>
      <c r="C39" s="7">
        <v>0</v>
      </c>
      <c r="D39" s="7">
        <v>100</v>
      </c>
      <c r="E39" s="7">
        <v>100</v>
      </c>
      <c r="F39" s="7">
        <v>100</v>
      </c>
      <c r="G39" s="7">
        <v>100</v>
      </c>
      <c r="H39" s="8" t="s">
        <v>364</v>
      </c>
    </row>
    <row r="40" spans="1:8">
      <c r="A40" s="7" t="s">
        <v>345</v>
      </c>
      <c r="B40" s="7" t="s">
        <v>490</v>
      </c>
      <c r="C40" s="7">
        <v>0</v>
      </c>
      <c r="D40" s="7">
        <v>44.8</v>
      </c>
      <c r="E40" s="7">
        <v>44.8</v>
      </c>
      <c r="F40" s="7">
        <v>44.8</v>
      </c>
      <c r="G40" s="7">
        <v>44.8</v>
      </c>
      <c r="H40" s="8" t="s">
        <v>415</v>
      </c>
    </row>
    <row r="41" spans="1:8">
      <c r="A41" s="7" t="s">
        <v>346</v>
      </c>
      <c r="B41" s="7" t="s">
        <v>490</v>
      </c>
      <c r="C41" s="7">
        <v>0</v>
      </c>
      <c r="D41" s="7">
        <v>1.72</v>
      </c>
      <c r="E41" s="7">
        <v>1.72</v>
      </c>
      <c r="F41" s="7">
        <v>1.72</v>
      </c>
      <c r="G41" s="7">
        <v>1.72</v>
      </c>
      <c r="H41" s="8" t="s">
        <v>415</v>
      </c>
    </row>
    <row r="42" spans="1:8" s="11" customFormat="1">
      <c r="A42" s="78" t="s">
        <v>347</v>
      </c>
      <c r="B42" s="78"/>
      <c r="C42" s="78"/>
      <c r="D42" s="78"/>
      <c r="E42" s="78"/>
      <c r="F42" s="78"/>
      <c r="G42" s="78"/>
    </row>
    <row r="43" spans="1:8">
      <c r="A43" s="7" t="s">
        <v>348</v>
      </c>
      <c r="B43" s="7" t="s">
        <v>488</v>
      </c>
      <c r="C43" s="7">
        <v>373.31</v>
      </c>
      <c r="D43" s="7">
        <v>1866.92</v>
      </c>
      <c r="E43" s="7">
        <v>686.4</v>
      </c>
      <c r="F43" s="7">
        <v>1008.75</v>
      </c>
      <c r="G43" s="7">
        <v>3905.6</v>
      </c>
    </row>
    <row r="46" spans="1:8" s="10" customFormat="1">
      <c r="A46" s="9" t="s">
        <v>479</v>
      </c>
    </row>
    <row r="47" spans="1:8">
      <c r="A47" s="7" t="s">
        <v>480</v>
      </c>
      <c r="B47" s="7" t="s">
        <v>481</v>
      </c>
      <c r="C47" s="7" t="s">
        <v>482</v>
      </c>
      <c r="D47" s="7" t="s">
        <v>483</v>
      </c>
      <c r="E47" s="7">
        <v>2008</v>
      </c>
      <c r="F47" s="7">
        <v>2009</v>
      </c>
      <c r="G47" s="7" t="s">
        <v>484</v>
      </c>
      <c r="H47" s="12"/>
    </row>
    <row r="48" spans="1:8" s="11" customFormat="1">
      <c r="A48" s="78" t="s">
        <v>485</v>
      </c>
      <c r="B48" s="78"/>
      <c r="C48" s="78"/>
      <c r="D48" s="78"/>
      <c r="E48" s="78"/>
      <c r="F48" s="78"/>
      <c r="G48" s="78"/>
      <c r="H48" s="78"/>
    </row>
    <row r="49" spans="1:8">
      <c r="A49" s="77" t="s">
        <v>486</v>
      </c>
      <c r="B49" s="77"/>
      <c r="C49" s="77"/>
      <c r="D49" s="77"/>
      <c r="E49" s="77"/>
      <c r="F49" s="77"/>
      <c r="G49" s="77"/>
      <c r="H49" s="77"/>
    </row>
    <row r="50" spans="1:8">
      <c r="A50" s="7" t="s">
        <v>356</v>
      </c>
      <c r="B50" s="7" t="s">
        <v>357</v>
      </c>
      <c r="C50" s="7">
        <v>35.29</v>
      </c>
      <c r="D50" s="7">
        <v>97.08</v>
      </c>
      <c r="E50" s="7">
        <v>140.1</v>
      </c>
      <c r="F50" s="7">
        <v>67.510000000000005</v>
      </c>
      <c r="G50" s="7">
        <v>83.64</v>
      </c>
      <c r="H50" s="12"/>
    </row>
    <row r="51" spans="1:8">
      <c r="A51" s="7" t="s">
        <v>358</v>
      </c>
      <c r="B51" s="7" t="s">
        <v>359</v>
      </c>
      <c r="C51" s="7">
        <v>0</v>
      </c>
      <c r="D51" s="7">
        <v>11.8</v>
      </c>
      <c r="E51" s="7">
        <v>8.35</v>
      </c>
      <c r="F51" s="7">
        <v>13.53</v>
      </c>
      <c r="G51" s="7">
        <v>13.53</v>
      </c>
      <c r="H51" s="12" t="s">
        <v>365</v>
      </c>
    </row>
    <row r="52" spans="1:8">
      <c r="A52" s="7" t="s">
        <v>360</v>
      </c>
      <c r="B52" s="7" t="s">
        <v>490</v>
      </c>
      <c r="C52" s="7">
        <v>0</v>
      </c>
      <c r="D52" s="7">
        <v>3.18</v>
      </c>
      <c r="E52" s="7">
        <v>3.18</v>
      </c>
      <c r="F52" s="7">
        <v>3.18</v>
      </c>
      <c r="G52" s="7">
        <v>3.18</v>
      </c>
      <c r="H52" s="12" t="s">
        <v>366</v>
      </c>
    </row>
    <row r="53" spans="1:8">
      <c r="A53" s="77" t="s">
        <v>361</v>
      </c>
      <c r="B53" s="77"/>
      <c r="C53" s="77"/>
      <c r="D53" s="77"/>
      <c r="E53" s="77"/>
      <c r="F53" s="77"/>
      <c r="G53" s="77"/>
      <c r="H53" s="77"/>
    </row>
    <row r="54" spans="1:8">
      <c r="A54" s="7" t="s">
        <v>362</v>
      </c>
      <c r="B54" s="7" t="s">
        <v>488</v>
      </c>
      <c r="C54" s="7">
        <v>7.38</v>
      </c>
      <c r="D54" s="7">
        <v>7.96</v>
      </c>
      <c r="E54" s="7">
        <v>3.98</v>
      </c>
      <c r="F54" s="7">
        <v>7.96</v>
      </c>
      <c r="G54" s="7">
        <v>11.94</v>
      </c>
      <c r="H54" s="12"/>
    </row>
    <row r="55" spans="1:8">
      <c r="A55" s="77" t="s">
        <v>431</v>
      </c>
      <c r="B55" s="77"/>
      <c r="C55" s="77"/>
      <c r="D55" s="77"/>
      <c r="E55" s="77"/>
      <c r="F55" s="77"/>
      <c r="G55" s="77"/>
      <c r="H55" s="77"/>
    </row>
    <row r="56" spans="1:8">
      <c r="A56" s="7" t="s">
        <v>363</v>
      </c>
      <c r="B56" s="7" t="s">
        <v>488</v>
      </c>
      <c r="C56" s="7">
        <v>32.549999999999997</v>
      </c>
      <c r="D56" s="7">
        <v>489.35</v>
      </c>
      <c r="E56" s="7">
        <v>656.44</v>
      </c>
      <c r="F56" s="7">
        <v>652.47</v>
      </c>
      <c r="G56" s="7">
        <v>159.13999999999999</v>
      </c>
      <c r="H56" s="12"/>
    </row>
    <row r="57" spans="1:8">
      <c r="A57" s="7" t="s">
        <v>433</v>
      </c>
      <c r="B57" s="7" t="s">
        <v>488</v>
      </c>
      <c r="C57" s="7">
        <v>105.64</v>
      </c>
      <c r="D57" s="7">
        <v>170.91</v>
      </c>
      <c r="E57" s="7">
        <v>210.59</v>
      </c>
      <c r="F57" s="7">
        <v>77.83</v>
      </c>
      <c r="G57" s="7">
        <v>224.32</v>
      </c>
      <c r="H57" s="12"/>
    </row>
    <row r="58" spans="1:8">
      <c r="A58" s="7" t="s">
        <v>464</v>
      </c>
      <c r="B58" s="7" t="s">
        <v>488</v>
      </c>
      <c r="C58" s="7">
        <v>0</v>
      </c>
      <c r="D58" s="7">
        <v>626.66999999999996</v>
      </c>
      <c r="E58" s="7">
        <v>350</v>
      </c>
      <c r="F58" s="7">
        <v>770</v>
      </c>
      <c r="G58" s="7">
        <v>760</v>
      </c>
      <c r="H58" s="12" t="s">
        <v>364</v>
      </c>
    </row>
    <row r="59" spans="1:8">
      <c r="A59" s="7" t="s">
        <v>465</v>
      </c>
      <c r="B59" s="7" t="s">
        <v>488</v>
      </c>
      <c r="C59" s="7">
        <v>0</v>
      </c>
      <c r="D59" s="7">
        <v>13.33</v>
      </c>
      <c r="E59" s="7">
        <v>30</v>
      </c>
      <c r="F59" s="7">
        <v>10</v>
      </c>
      <c r="G59" s="7">
        <v>0</v>
      </c>
      <c r="H59" s="12" t="s">
        <v>367</v>
      </c>
    </row>
    <row r="60" spans="1:8">
      <c r="A60" s="7" t="s">
        <v>466</v>
      </c>
      <c r="B60" s="7" t="s">
        <v>488</v>
      </c>
      <c r="C60" s="7">
        <v>140.4</v>
      </c>
      <c r="D60" s="7">
        <v>0</v>
      </c>
      <c r="E60" s="7">
        <v>0</v>
      </c>
      <c r="F60" s="7">
        <v>0</v>
      </c>
      <c r="G60" s="7">
        <v>0</v>
      </c>
      <c r="H60" s="12"/>
    </row>
    <row r="61" spans="1:8">
      <c r="A61" s="7" t="s">
        <v>467</v>
      </c>
      <c r="B61" s="7" t="s">
        <v>357</v>
      </c>
      <c r="C61" s="7">
        <v>0</v>
      </c>
      <c r="D61" s="7">
        <v>41.31</v>
      </c>
      <c r="E61" s="7">
        <v>25.62</v>
      </c>
      <c r="F61" s="7">
        <v>49.77</v>
      </c>
      <c r="G61" s="7">
        <v>48.54</v>
      </c>
      <c r="H61" s="12" t="s">
        <v>366</v>
      </c>
    </row>
    <row r="62" spans="1:8">
      <c r="A62" s="7" t="s">
        <v>468</v>
      </c>
      <c r="B62" s="7" t="s">
        <v>359</v>
      </c>
      <c r="C62" s="7">
        <v>0</v>
      </c>
      <c r="D62" s="7">
        <v>207.01</v>
      </c>
      <c r="E62" s="7">
        <v>155.56</v>
      </c>
      <c r="F62" s="7">
        <v>232.74</v>
      </c>
      <c r="G62" s="7">
        <v>232.74</v>
      </c>
      <c r="H62" s="12" t="s">
        <v>368</v>
      </c>
    </row>
    <row r="63" spans="1:8">
      <c r="A63" s="7" t="s">
        <v>469</v>
      </c>
      <c r="B63" s="7" t="s">
        <v>359</v>
      </c>
      <c r="C63" s="7">
        <v>0</v>
      </c>
      <c r="D63" s="7">
        <v>13.26</v>
      </c>
      <c r="E63" s="7">
        <v>7.16</v>
      </c>
      <c r="F63" s="7">
        <v>16.309999999999999</v>
      </c>
      <c r="G63" s="7">
        <v>16.309999999999999</v>
      </c>
      <c r="H63" s="12" t="s">
        <v>365</v>
      </c>
    </row>
    <row r="64" spans="1:8">
      <c r="A64" s="77" t="s">
        <v>470</v>
      </c>
      <c r="B64" s="77"/>
      <c r="C64" s="77"/>
      <c r="D64" s="77"/>
      <c r="E64" s="77"/>
      <c r="F64" s="77"/>
      <c r="G64" s="77"/>
      <c r="H64" s="77"/>
    </row>
    <row r="65" spans="1:8">
      <c r="A65" s="7" t="s">
        <v>471</v>
      </c>
      <c r="B65" s="7" t="s">
        <v>488</v>
      </c>
      <c r="C65" s="7">
        <v>0</v>
      </c>
      <c r="D65" s="7">
        <v>27.85</v>
      </c>
      <c r="E65" s="7">
        <v>7.96</v>
      </c>
      <c r="F65" s="7">
        <v>15.91</v>
      </c>
      <c r="G65" s="7">
        <v>59.68</v>
      </c>
      <c r="H65" s="12" t="s">
        <v>364</v>
      </c>
    </row>
    <row r="66" spans="1:8" s="11" customFormat="1">
      <c r="A66" s="78" t="s">
        <v>434</v>
      </c>
      <c r="B66" s="78"/>
      <c r="C66" s="78"/>
      <c r="D66" s="78"/>
      <c r="E66" s="78"/>
      <c r="F66" s="78"/>
      <c r="G66" s="78"/>
      <c r="H66" s="78"/>
    </row>
    <row r="67" spans="1:8">
      <c r="A67" s="77" t="s">
        <v>435</v>
      </c>
      <c r="B67" s="77"/>
      <c r="C67" s="77"/>
      <c r="D67" s="77"/>
      <c r="E67" s="77"/>
      <c r="F67" s="77"/>
      <c r="G67" s="77"/>
      <c r="H67" s="77"/>
    </row>
    <row r="68" spans="1:8">
      <c r="A68" s="7" t="s">
        <v>472</v>
      </c>
      <c r="B68" s="7" t="s">
        <v>488</v>
      </c>
      <c r="C68" s="7">
        <v>265.73</v>
      </c>
      <c r="D68" s="7">
        <v>463.6</v>
      </c>
      <c r="E68" s="7">
        <v>250.35</v>
      </c>
      <c r="F68" s="7">
        <v>570.23</v>
      </c>
      <c r="G68" s="7">
        <v>570.23</v>
      </c>
      <c r="H68" s="12"/>
    </row>
    <row r="69" spans="1:8">
      <c r="A69" s="7" t="s">
        <v>473</v>
      </c>
      <c r="B69" s="7" t="s">
        <v>359</v>
      </c>
      <c r="C69" s="7">
        <v>0</v>
      </c>
      <c r="D69" s="7">
        <v>0</v>
      </c>
      <c r="E69" s="7">
        <v>48.69</v>
      </c>
      <c r="F69" s="7">
        <v>0</v>
      </c>
      <c r="G69" s="7">
        <v>0</v>
      </c>
      <c r="H69" s="12" t="s">
        <v>369</v>
      </c>
    </row>
    <row r="70" spans="1:8">
      <c r="A70" s="7" t="s">
        <v>474</v>
      </c>
      <c r="B70" s="7" t="s">
        <v>359</v>
      </c>
      <c r="C70" s="7">
        <v>15.65</v>
      </c>
      <c r="D70" s="7">
        <v>34.07</v>
      </c>
      <c r="E70" s="7">
        <v>28.14</v>
      </c>
      <c r="F70" s="7">
        <v>37.03</v>
      </c>
      <c r="G70" s="7">
        <v>37.03</v>
      </c>
      <c r="H70" s="12"/>
    </row>
    <row r="71" spans="1:8">
      <c r="A71" s="7" t="s">
        <v>475</v>
      </c>
      <c r="B71" s="7" t="s">
        <v>359</v>
      </c>
      <c r="C71" s="7">
        <v>0</v>
      </c>
      <c r="D71" s="7">
        <v>0</v>
      </c>
      <c r="E71" s="7">
        <v>0</v>
      </c>
      <c r="F71" s="7">
        <v>4.5</v>
      </c>
      <c r="G71" s="7">
        <v>2.25</v>
      </c>
      <c r="H71" s="12" t="s">
        <v>369</v>
      </c>
    </row>
    <row r="72" spans="1:8">
      <c r="A72" s="7" t="s">
        <v>476</v>
      </c>
      <c r="B72" s="7" t="s">
        <v>357</v>
      </c>
      <c r="C72" s="7">
        <v>73.45</v>
      </c>
      <c r="D72" s="7">
        <v>78.069999999999993</v>
      </c>
      <c r="E72" s="7">
        <v>77.7</v>
      </c>
      <c r="F72" s="7">
        <v>77.599999999999994</v>
      </c>
      <c r="G72" s="7">
        <v>78.900000000000006</v>
      </c>
      <c r="H72" s="12"/>
    </row>
    <row r="73" spans="1:8">
      <c r="A73" s="7" t="s">
        <v>477</v>
      </c>
      <c r="B73" s="7" t="s">
        <v>478</v>
      </c>
      <c r="C73" s="7">
        <v>1187.98</v>
      </c>
      <c r="D73" s="7">
        <v>988.08</v>
      </c>
      <c r="E73" s="7">
        <v>1118.17</v>
      </c>
      <c r="F73" s="7">
        <v>923.03</v>
      </c>
      <c r="G73" s="7">
        <v>923.03</v>
      </c>
      <c r="H73" s="12"/>
    </row>
    <row r="74" spans="1:8" s="11" customFormat="1">
      <c r="A74" s="78" t="s">
        <v>434</v>
      </c>
      <c r="B74" s="78"/>
      <c r="C74" s="78"/>
      <c r="D74" s="78"/>
      <c r="E74" s="78"/>
      <c r="F74" s="78"/>
      <c r="G74" s="78"/>
      <c r="H74" s="78"/>
    </row>
    <row r="75" spans="1:8">
      <c r="A75" s="77" t="s">
        <v>435</v>
      </c>
      <c r="B75" s="77"/>
      <c r="C75" s="77"/>
      <c r="D75" s="77"/>
      <c r="E75" s="77"/>
      <c r="F75" s="77"/>
      <c r="G75" s="77"/>
      <c r="H75" s="77"/>
    </row>
    <row r="76" spans="1:8">
      <c r="A76" s="7" t="s">
        <v>416</v>
      </c>
      <c r="B76" s="7" t="s">
        <v>490</v>
      </c>
      <c r="C76" s="7">
        <v>0</v>
      </c>
      <c r="D76" s="7">
        <v>2.2999999999999998</v>
      </c>
      <c r="E76" s="7">
        <v>2.2999999999999998</v>
      </c>
      <c r="F76" s="7">
        <v>2.2999999999999998</v>
      </c>
      <c r="G76" s="7">
        <v>2.2999999999999998</v>
      </c>
      <c r="H76" s="12" t="s">
        <v>366</v>
      </c>
    </row>
    <row r="77" spans="1:8">
      <c r="A77" s="7" t="s">
        <v>417</v>
      </c>
      <c r="B77" s="7" t="s">
        <v>490</v>
      </c>
      <c r="C77" s="7">
        <v>0</v>
      </c>
      <c r="D77" s="7">
        <v>68.599999999999994</v>
      </c>
      <c r="E77" s="7">
        <v>68.599999999999994</v>
      </c>
      <c r="F77" s="7">
        <v>68.599999999999994</v>
      </c>
      <c r="G77" s="7">
        <v>68.599999999999994</v>
      </c>
      <c r="H77" s="12" t="s">
        <v>366</v>
      </c>
    </row>
    <row r="78" spans="1:8">
      <c r="A78" s="7" t="s">
        <v>418</v>
      </c>
      <c r="B78" s="7" t="s">
        <v>490</v>
      </c>
      <c r="C78" s="7">
        <v>0</v>
      </c>
      <c r="D78" s="7">
        <v>13.4</v>
      </c>
      <c r="E78" s="7">
        <v>13.4</v>
      </c>
      <c r="F78" s="7">
        <v>13.4</v>
      </c>
      <c r="G78" s="7">
        <v>13.4</v>
      </c>
      <c r="H78" s="12" t="s">
        <v>366</v>
      </c>
    </row>
    <row r="79" spans="1:8">
      <c r="A79" s="7" t="s">
        <v>419</v>
      </c>
      <c r="B79" s="7" t="s">
        <v>490</v>
      </c>
      <c r="C79" s="7">
        <v>0</v>
      </c>
      <c r="D79" s="7">
        <v>13.6</v>
      </c>
      <c r="E79" s="7">
        <v>13.6</v>
      </c>
      <c r="F79" s="7">
        <v>13.6</v>
      </c>
      <c r="G79" s="7">
        <v>13.6</v>
      </c>
      <c r="H79" s="12" t="s">
        <v>366</v>
      </c>
    </row>
    <row r="80" spans="1:8">
      <c r="A80" s="7" t="s">
        <v>420</v>
      </c>
      <c r="B80" s="7" t="s">
        <v>490</v>
      </c>
      <c r="C80" s="7">
        <v>0</v>
      </c>
      <c r="D80" s="7">
        <v>1.8</v>
      </c>
      <c r="E80" s="7">
        <v>1.8</v>
      </c>
      <c r="F80" s="7">
        <v>1.8</v>
      </c>
      <c r="G80" s="7">
        <v>1.8</v>
      </c>
      <c r="H80" s="12" t="s">
        <v>366</v>
      </c>
    </row>
    <row r="81" spans="1:8">
      <c r="A81" s="7" t="s">
        <v>421</v>
      </c>
      <c r="B81" s="7" t="s">
        <v>490</v>
      </c>
      <c r="C81" s="7">
        <v>0</v>
      </c>
      <c r="D81" s="7">
        <v>84.8</v>
      </c>
      <c r="E81" s="7">
        <v>84.8</v>
      </c>
      <c r="F81" s="7">
        <v>84.8</v>
      </c>
      <c r="G81" s="7">
        <v>84.8</v>
      </c>
      <c r="H81" s="12" t="s">
        <v>366</v>
      </c>
    </row>
    <row r="82" spans="1:8" s="11" customFormat="1">
      <c r="A82" s="78" t="s">
        <v>347</v>
      </c>
      <c r="B82" s="78"/>
      <c r="C82" s="78"/>
      <c r="D82" s="78"/>
      <c r="E82" s="78"/>
      <c r="F82" s="78"/>
      <c r="G82" s="78"/>
      <c r="H82" s="78"/>
    </row>
    <row r="83" spans="1:8">
      <c r="A83" s="7" t="s">
        <v>422</v>
      </c>
      <c r="B83" s="7" t="s">
        <v>488</v>
      </c>
      <c r="C83" s="7">
        <v>1262.57</v>
      </c>
      <c r="D83" s="7">
        <v>1090.8900000000001</v>
      </c>
      <c r="E83" s="7">
        <v>1101.47</v>
      </c>
      <c r="F83" s="7">
        <v>1093.8499999999999</v>
      </c>
      <c r="G83" s="7">
        <v>1077.3499999999999</v>
      </c>
      <c r="H83" s="12"/>
    </row>
    <row r="84" spans="1:8">
      <c r="A84" s="7" t="s">
        <v>348</v>
      </c>
      <c r="B84" s="7" t="s">
        <v>488</v>
      </c>
      <c r="C84" s="7">
        <v>85.57</v>
      </c>
      <c r="D84" s="7">
        <v>11.4</v>
      </c>
      <c r="E84" s="7">
        <v>10.45</v>
      </c>
      <c r="F84" s="7">
        <v>6.43</v>
      </c>
      <c r="G84" s="7">
        <v>17.32</v>
      </c>
      <c r="H84" s="12"/>
    </row>
    <row r="85" spans="1:8">
      <c r="A85" s="7" t="s">
        <v>423</v>
      </c>
      <c r="B85" s="7" t="s">
        <v>488</v>
      </c>
      <c r="C85" s="7">
        <v>6.88</v>
      </c>
      <c r="D85" s="7">
        <v>10.54</v>
      </c>
      <c r="E85" s="7">
        <v>15.55</v>
      </c>
      <c r="F85" s="7">
        <v>12.84</v>
      </c>
      <c r="G85" s="7">
        <v>3.22</v>
      </c>
      <c r="H85" s="12"/>
    </row>
    <row r="88" spans="1:8" s="10" customFormat="1">
      <c r="A88" s="9" t="s">
        <v>430</v>
      </c>
    </row>
    <row r="89" spans="1:8">
      <c r="A89" s="7" t="s">
        <v>480</v>
      </c>
      <c r="B89" s="7" t="s">
        <v>481</v>
      </c>
      <c r="C89" s="7" t="s">
        <v>482</v>
      </c>
      <c r="D89" s="7" t="s">
        <v>483</v>
      </c>
      <c r="E89" s="7">
        <v>2008</v>
      </c>
      <c r="F89" s="7">
        <v>2009</v>
      </c>
      <c r="G89" s="7" t="s">
        <v>484</v>
      </c>
    </row>
    <row r="90" spans="1:8" s="11" customFormat="1">
      <c r="A90" s="78" t="s">
        <v>485</v>
      </c>
      <c r="B90" s="78"/>
      <c r="C90" s="78"/>
      <c r="D90" s="78"/>
      <c r="E90" s="78"/>
      <c r="F90" s="78"/>
      <c r="G90" s="78"/>
    </row>
    <row r="91" spans="1:8">
      <c r="A91" s="77" t="s">
        <v>486</v>
      </c>
      <c r="B91" s="77"/>
      <c r="C91" s="77"/>
      <c r="D91" s="77"/>
      <c r="E91" s="77"/>
      <c r="F91" s="77"/>
      <c r="G91" s="77"/>
    </row>
    <row r="92" spans="1:8">
      <c r="A92" s="7" t="s">
        <v>424</v>
      </c>
      <c r="B92" s="7" t="s">
        <v>357</v>
      </c>
      <c r="C92" s="7">
        <v>201.36</v>
      </c>
      <c r="D92" s="7">
        <v>1122.8900000000001</v>
      </c>
      <c r="E92" s="7">
        <v>919.98</v>
      </c>
      <c r="F92" s="7">
        <v>1133.79</v>
      </c>
      <c r="G92" s="7">
        <v>1314.89</v>
      </c>
    </row>
    <row r="93" spans="1:8">
      <c r="A93" s="7" t="s">
        <v>358</v>
      </c>
      <c r="B93" s="7" t="s">
        <v>359</v>
      </c>
      <c r="C93" s="7">
        <v>0</v>
      </c>
      <c r="D93" s="7">
        <v>17.86</v>
      </c>
      <c r="E93" s="7">
        <v>12.65</v>
      </c>
      <c r="F93" s="7">
        <v>20.47</v>
      </c>
      <c r="G93" s="7">
        <v>20.47</v>
      </c>
      <c r="H93" s="8" t="s">
        <v>365</v>
      </c>
    </row>
    <row r="94" spans="1:8">
      <c r="A94" s="7" t="s">
        <v>360</v>
      </c>
      <c r="B94" s="7" t="s">
        <v>490</v>
      </c>
      <c r="C94" s="7">
        <v>0</v>
      </c>
      <c r="D94" s="7">
        <v>4.82</v>
      </c>
      <c r="E94" s="7">
        <v>4.82</v>
      </c>
      <c r="F94" s="7">
        <v>4.82</v>
      </c>
      <c r="G94" s="7">
        <v>4.82</v>
      </c>
      <c r="H94" s="8" t="s">
        <v>415</v>
      </c>
    </row>
    <row r="95" spans="1:8">
      <c r="A95" s="7" t="s">
        <v>425</v>
      </c>
      <c r="B95" s="7" t="s">
        <v>490</v>
      </c>
      <c r="C95" s="7">
        <v>0</v>
      </c>
      <c r="D95" s="7">
        <v>4</v>
      </c>
      <c r="E95" s="7">
        <v>4</v>
      </c>
      <c r="F95" s="7">
        <v>4</v>
      </c>
      <c r="G95" s="7">
        <v>4</v>
      </c>
      <c r="H95" s="8" t="s">
        <v>365</v>
      </c>
    </row>
    <row r="96" spans="1:8">
      <c r="A96" s="77" t="s">
        <v>361</v>
      </c>
      <c r="B96" s="77"/>
      <c r="C96" s="77"/>
      <c r="D96" s="77"/>
      <c r="E96" s="77"/>
      <c r="F96" s="77"/>
      <c r="G96" s="77"/>
    </row>
    <row r="97" spans="1:8">
      <c r="A97" s="7" t="s">
        <v>362</v>
      </c>
      <c r="B97" s="7" t="s">
        <v>488</v>
      </c>
      <c r="C97" s="7">
        <v>9.2799999999999994</v>
      </c>
      <c r="D97" s="7">
        <v>12.04</v>
      </c>
      <c r="E97" s="7">
        <v>6.02</v>
      </c>
      <c r="F97" s="7">
        <v>12.04</v>
      </c>
      <c r="G97" s="7">
        <v>18.059999999999999</v>
      </c>
    </row>
    <row r="98" spans="1:8">
      <c r="A98" s="77" t="s">
        <v>431</v>
      </c>
      <c r="B98" s="77"/>
      <c r="C98" s="77"/>
      <c r="D98" s="77"/>
      <c r="E98" s="77"/>
      <c r="F98" s="77"/>
      <c r="G98" s="77"/>
    </row>
    <row r="99" spans="1:8">
      <c r="A99" s="7" t="s">
        <v>426</v>
      </c>
      <c r="B99" s="7" t="s">
        <v>359</v>
      </c>
      <c r="C99" s="7">
        <v>0</v>
      </c>
      <c r="D99" s="7">
        <v>18.37</v>
      </c>
      <c r="E99" s="7">
        <v>0</v>
      </c>
      <c r="F99" s="7">
        <v>4.3600000000000003</v>
      </c>
      <c r="G99" s="7">
        <v>32.380000000000003</v>
      </c>
      <c r="H99" s="8" t="s">
        <v>370</v>
      </c>
    </row>
    <row r="100" spans="1:8">
      <c r="A100" s="7" t="s">
        <v>363</v>
      </c>
      <c r="B100" s="7" t="s">
        <v>488</v>
      </c>
      <c r="C100" s="7">
        <v>40.78</v>
      </c>
      <c r="D100" s="7">
        <v>740.65</v>
      </c>
      <c r="E100" s="7">
        <v>993.56</v>
      </c>
      <c r="F100" s="7">
        <v>987.53</v>
      </c>
      <c r="G100" s="7">
        <v>240.86</v>
      </c>
    </row>
    <row r="101" spans="1:8">
      <c r="A101" s="7" t="s">
        <v>433</v>
      </c>
      <c r="B101" s="7" t="s">
        <v>488</v>
      </c>
      <c r="C101" s="7">
        <v>132.18</v>
      </c>
      <c r="D101" s="7">
        <v>258.68</v>
      </c>
      <c r="E101" s="7">
        <v>318.73</v>
      </c>
      <c r="F101" s="7">
        <v>117.79</v>
      </c>
      <c r="G101" s="7">
        <v>339.52</v>
      </c>
    </row>
    <row r="102" spans="1:8">
      <c r="A102" s="7" t="s">
        <v>427</v>
      </c>
      <c r="B102" s="7" t="s">
        <v>488</v>
      </c>
      <c r="C102" s="7">
        <v>0</v>
      </c>
      <c r="D102" s="7">
        <v>93.33</v>
      </c>
      <c r="E102" s="7">
        <v>80</v>
      </c>
      <c r="F102" s="7">
        <v>80</v>
      </c>
      <c r="G102" s="7">
        <v>120</v>
      </c>
      <c r="H102" s="8" t="s">
        <v>364</v>
      </c>
    </row>
    <row r="103" spans="1:8">
      <c r="A103" s="7" t="s">
        <v>466</v>
      </c>
      <c r="B103" s="7" t="s">
        <v>488</v>
      </c>
      <c r="C103" s="7">
        <v>176.26</v>
      </c>
      <c r="D103" s="7">
        <v>0</v>
      </c>
      <c r="E103" s="7">
        <v>0</v>
      </c>
      <c r="F103" s="7">
        <v>0</v>
      </c>
      <c r="G103" s="7">
        <v>0</v>
      </c>
    </row>
    <row r="104" spans="1:8">
      <c r="A104" s="7" t="s">
        <v>467</v>
      </c>
      <c r="B104" s="7" t="s">
        <v>357</v>
      </c>
      <c r="C104" s="7">
        <v>0</v>
      </c>
      <c r="D104" s="7">
        <v>62.52</v>
      </c>
      <c r="E104" s="7">
        <v>38.78</v>
      </c>
      <c r="F104" s="7">
        <v>75.33</v>
      </c>
      <c r="G104" s="7">
        <v>73.459999999999994</v>
      </c>
      <c r="H104" s="8" t="s">
        <v>415</v>
      </c>
    </row>
    <row r="105" spans="1:8">
      <c r="A105" s="7" t="s">
        <v>468</v>
      </c>
      <c r="B105" s="7" t="s">
        <v>359</v>
      </c>
      <c r="C105" s="7">
        <v>0</v>
      </c>
      <c r="D105" s="7">
        <v>313.32</v>
      </c>
      <c r="E105" s="7">
        <v>235.44</v>
      </c>
      <c r="F105" s="7">
        <v>352.26</v>
      </c>
      <c r="G105" s="7">
        <v>352.26</v>
      </c>
      <c r="H105" s="8" t="s">
        <v>365</v>
      </c>
    </row>
    <row r="106" spans="1:8">
      <c r="A106" s="7" t="s">
        <v>469</v>
      </c>
      <c r="B106" s="7" t="s">
        <v>359</v>
      </c>
      <c r="C106" s="7">
        <v>0</v>
      </c>
      <c r="D106" s="7">
        <v>20.07</v>
      </c>
      <c r="E106" s="7">
        <v>10.84</v>
      </c>
      <c r="F106" s="7">
        <v>24.69</v>
      </c>
      <c r="G106" s="7">
        <v>24.69</v>
      </c>
      <c r="H106" s="8" t="s">
        <v>365</v>
      </c>
    </row>
    <row r="107" spans="1:8">
      <c r="A107" s="77" t="s">
        <v>470</v>
      </c>
      <c r="B107" s="77"/>
      <c r="C107" s="77"/>
      <c r="D107" s="77"/>
      <c r="E107" s="77"/>
      <c r="F107" s="77"/>
      <c r="G107" s="77"/>
    </row>
    <row r="108" spans="1:8">
      <c r="A108" s="7" t="s">
        <v>471</v>
      </c>
      <c r="B108" s="7" t="s">
        <v>488</v>
      </c>
      <c r="C108" s="7">
        <v>0</v>
      </c>
      <c r="D108" s="7">
        <v>42.15</v>
      </c>
      <c r="E108" s="7">
        <v>12.04</v>
      </c>
      <c r="F108" s="7">
        <v>24.09</v>
      </c>
      <c r="G108" s="7">
        <v>90.32</v>
      </c>
    </row>
    <row r="109" spans="1:8" s="11" customFormat="1">
      <c r="A109" s="78" t="s">
        <v>434</v>
      </c>
      <c r="B109" s="78"/>
      <c r="C109" s="78"/>
      <c r="D109" s="78"/>
      <c r="E109" s="78"/>
      <c r="F109" s="78"/>
      <c r="G109" s="78"/>
    </row>
    <row r="110" spans="1:8">
      <c r="A110" s="77" t="s">
        <v>435</v>
      </c>
      <c r="B110" s="77"/>
      <c r="C110" s="77"/>
      <c r="D110" s="77"/>
      <c r="E110" s="77"/>
      <c r="F110" s="77"/>
      <c r="G110" s="77"/>
    </row>
    <row r="111" spans="1:8">
      <c r="A111" s="7" t="s">
        <v>472</v>
      </c>
      <c r="B111" s="7" t="s">
        <v>488</v>
      </c>
      <c r="C111" s="7">
        <v>1037.81</v>
      </c>
      <c r="D111" s="7">
        <v>2340.73</v>
      </c>
      <c r="E111" s="7">
        <v>1264</v>
      </c>
      <c r="F111" s="7">
        <v>2879.1</v>
      </c>
      <c r="G111" s="7">
        <v>2879.1</v>
      </c>
    </row>
    <row r="112" spans="1:8">
      <c r="A112" s="7" t="s">
        <v>475</v>
      </c>
      <c r="B112" s="7" t="s">
        <v>359</v>
      </c>
      <c r="C112" s="7">
        <v>0</v>
      </c>
      <c r="D112" s="7">
        <v>0</v>
      </c>
      <c r="E112" s="7">
        <v>0</v>
      </c>
      <c r="F112" s="7">
        <v>5.5</v>
      </c>
      <c r="G112" s="7">
        <v>2.75</v>
      </c>
      <c r="H112" s="7" t="s">
        <v>369</v>
      </c>
    </row>
    <row r="113" spans="1:8">
      <c r="A113" s="7" t="s">
        <v>428</v>
      </c>
      <c r="B113" s="7" t="s">
        <v>357</v>
      </c>
      <c r="C113" s="7">
        <v>162.83000000000001</v>
      </c>
      <c r="D113" s="7">
        <v>247.81</v>
      </c>
      <c r="E113" s="7">
        <v>242.42</v>
      </c>
      <c r="F113" s="7">
        <v>245.4</v>
      </c>
      <c r="G113" s="7">
        <v>255.63</v>
      </c>
    </row>
    <row r="114" spans="1:8">
      <c r="A114" s="7" t="s">
        <v>429</v>
      </c>
      <c r="B114" s="7" t="s">
        <v>490</v>
      </c>
      <c r="C114" s="7">
        <v>0</v>
      </c>
      <c r="D114" s="7">
        <v>17</v>
      </c>
      <c r="E114" s="7">
        <v>17</v>
      </c>
      <c r="F114" s="7">
        <v>17</v>
      </c>
      <c r="G114" s="7">
        <v>17</v>
      </c>
      <c r="H114" s="8" t="s">
        <v>415</v>
      </c>
    </row>
    <row r="115" spans="1:8">
      <c r="A115" s="7" t="s">
        <v>346</v>
      </c>
      <c r="B115" s="7" t="s">
        <v>490</v>
      </c>
      <c r="C115" s="7">
        <v>0</v>
      </c>
      <c r="D115" s="7">
        <v>2.58</v>
      </c>
      <c r="E115" s="7">
        <v>2.58</v>
      </c>
      <c r="F115" s="7">
        <v>2.58</v>
      </c>
      <c r="G115" s="7">
        <v>2.58</v>
      </c>
      <c r="H115" s="8" t="s">
        <v>415</v>
      </c>
    </row>
    <row r="116" spans="1:8" s="11" customFormat="1">
      <c r="A116" s="78" t="s">
        <v>347</v>
      </c>
      <c r="B116" s="78"/>
      <c r="C116" s="78"/>
      <c r="D116" s="78"/>
      <c r="E116" s="78"/>
      <c r="F116" s="78"/>
      <c r="G116" s="78"/>
    </row>
    <row r="117" spans="1:8">
      <c r="A117" s="7" t="s">
        <v>348</v>
      </c>
      <c r="B117" s="7" t="s">
        <v>488</v>
      </c>
      <c r="C117" s="7">
        <v>64.56</v>
      </c>
      <c r="D117" s="7">
        <v>61.88</v>
      </c>
      <c r="E117" s="7">
        <v>30.33</v>
      </c>
      <c r="F117" s="7">
        <v>29.24</v>
      </c>
      <c r="G117" s="7">
        <v>126.08</v>
      </c>
    </row>
    <row r="120" spans="1:8">
      <c r="A120" s="8" t="s">
        <v>371</v>
      </c>
    </row>
  </sheetData>
  <mergeCells count="25">
    <mergeCell ref="A42:G42"/>
    <mergeCell ref="A27:G27"/>
    <mergeCell ref="A28:G28"/>
    <mergeCell ref="A31:G31"/>
    <mergeCell ref="A33:G33"/>
    <mergeCell ref="A36:G36"/>
    <mergeCell ref="A37:G37"/>
    <mergeCell ref="A74:H74"/>
    <mergeCell ref="A75:H75"/>
    <mergeCell ref="A82:H82"/>
    <mergeCell ref="A48:H48"/>
    <mergeCell ref="A53:H53"/>
    <mergeCell ref="A55:H55"/>
    <mergeCell ref="A64:H64"/>
    <mergeCell ref="A66:H66"/>
    <mergeCell ref="A49:H49"/>
    <mergeCell ref="A67:H67"/>
    <mergeCell ref="A110:G110"/>
    <mergeCell ref="A116:G116"/>
    <mergeCell ref="A90:G90"/>
    <mergeCell ref="A91:G91"/>
    <mergeCell ref="A96:G96"/>
    <mergeCell ref="A98:G98"/>
    <mergeCell ref="A107:G107"/>
    <mergeCell ref="A109:G109"/>
  </mergeCells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C2" sqref="C2:G2"/>
    </sheetView>
  </sheetViews>
  <sheetFormatPr baseColWidth="10" defaultRowHeight="13" x14ac:dyDescent="0"/>
  <cols>
    <col min="1" max="1" width="36.140625" customWidth="1"/>
    <col min="8" max="8" width="10.7109375" style="16"/>
    <col min="9" max="13" width="10.7109375" style="39"/>
  </cols>
  <sheetData>
    <row r="1" spans="1:13">
      <c r="A1" s="26" t="s">
        <v>515</v>
      </c>
      <c r="I1" s="37" t="s">
        <v>463</v>
      </c>
      <c r="J1" s="38"/>
      <c r="K1" s="38"/>
      <c r="L1" s="38"/>
      <c r="M1" s="38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40" t="s">
        <v>482</v>
      </c>
      <c r="J2" s="40" t="s">
        <v>483</v>
      </c>
      <c r="K2" s="40">
        <v>2008</v>
      </c>
      <c r="L2" s="40">
        <v>2009</v>
      </c>
      <c r="M2" s="40" t="s">
        <v>484</v>
      </c>
    </row>
    <row r="3" spans="1:13">
      <c r="A3" t="s">
        <v>531</v>
      </c>
      <c r="C3">
        <f>C29+C30+C31</f>
        <v>109.8</v>
      </c>
      <c r="D3">
        <f t="shared" ref="D3:G3" si="0">D29+D30+D31</f>
        <v>33.660000000000004</v>
      </c>
      <c r="E3">
        <f t="shared" si="0"/>
        <v>52.599999999999994</v>
      </c>
      <c r="F3">
        <f t="shared" si="0"/>
        <v>32.730000000000004</v>
      </c>
      <c r="G3">
        <f t="shared" si="0"/>
        <v>36.700000000000003</v>
      </c>
      <c r="I3" s="39">
        <f>C3*0.562499</f>
        <v>61.762390199999999</v>
      </c>
      <c r="J3" s="39">
        <f>D3*1.01721</f>
        <v>34.239288600000002</v>
      </c>
      <c r="K3" s="39">
        <f>E3*0.6983</f>
        <v>36.730579999999996</v>
      </c>
      <c r="L3" s="39">
        <f>F3*0.899928</f>
        <v>29.454643440000002</v>
      </c>
      <c r="M3" s="39">
        <f>G3*1.01721</f>
        <v>37.331606999999998</v>
      </c>
    </row>
    <row r="4" spans="1:13">
      <c r="A4" t="s">
        <v>436</v>
      </c>
      <c r="I4" s="39">
        <f t="shared" ref="I4:I21" si="1">C4*0.562499</f>
        <v>0</v>
      </c>
      <c r="J4" s="39">
        <f>D4*1.01721</f>
        <v>0</v>
      </c>
      <c r="K4" s="39">
        <f t="shared" ref="K4:K21" si="2">E4*0.6983</f>
        <v>0</v>
      </c>
      <c r="L4" s="39">
        <f>F4*0.899928</f>
        <v>0</v>
      </c>
      <c r="M4" s="39">
        <f t="shared" ref="M4:M21" si="3">G4*1.01721</f>
        <v>0</v>
      </c>
    </row>
    <row r="5" spans="1:13">
      <c r="A5" t="s">
        <v>437</v>
      </c>
      <c r="C5">
        <f>C34+C35</f>
        <v>0</v>
      </c>
      <c r="D5">
        <f t="shared" ref="D5:G5" si="4">D34+D35</f>
        <v>3.41</v>
      </c>
      <c r="E5">
        <f t="shared" si="4"/>
        <v>16.16</v>
      </c>
      <c r="F5">
        <f t="shared" si="4"/>
        <v>4.0599999999999996</v>
      </c>
      <c r="G5">
        <f t="shared" si="4"/>
        <v>0.02</v>
      </c>
      <c r="I5" s="39">
        <f t="shared" si="1"/>
        <v>0</v>
      </c>
      <c r="J5" s="39">
        <f t="shared" ref="J5:J21" si="5">D5*1.01721</f>
        <v>3.4686860999999998</v>
      </c>
      <c r="K5" s="39">
        <f t="shared" si="2"/>
        <v>11.284528</v>
      </c>
      <c r="L5" s="39">
        <f>F5*0.899928</f>
        <v>3.6537076799999992</v>
      </c>
      <c r="M5" s="39">
        <f t="shared" si="3"/>
        <v>2.03442E-2</v>
      </c>
    </row>
    <row r="6" spans="1:13">
      <c r="A6" t="s">
        <v>438</v>
      </c>
      <c r="C6">
        <f>SUM(C3:C5)</f>
        <v>109.8</v>
      </c>
      <c r="D6">
        <f t="shared" ref="D6:G6" si="6">SUM(D3:D5)</f>
        <v>37.070000000000007</v>
      </c>
      <c r="E6">
        <f t="shared" si="6"/>
        <v>68.759999999999991</v>
      </c>
      <c r="F6">
        <f t="shared" si="6"/>
        <v>36.790000000000006</v>
      </c>
      <c r="G6">
        <f t="shared" si="6"/>
        <v>36.720000000000006</v>
      </c>
      <c r="I6" s="39">
        <f t="shared" si="1"/>
        <v>61.762390199999999</v>
      </c>
      <c r="J6" s="39">
        <f t="shared" si="5"/>
        <v>37.707974700000008</v>
      </c>
      <c r="K6" s="39">
        <f t="shared" si="2"/>
        <v>48.015107999999998</v>
      </c>
      <c r="L6" s="39">
        <f t="shared" ref="L6:L21" si="7">F6*0.899928</f>
        <v>33.108351120000002</v>
      </c>
      <c r="M6" s="39">
        <f t="shared" si="3"/>
        <v>37.351951200000002</v>
      </c>
    </row>
    <row r="8" spans="1:13">
      <c r="A8" t="s">
        <v>439</v>
      </c>
      <c r="C8">
        <f>C42+C43+C45+C46+C47</f>
        <v>263.06</v>
      </c>
      <c r="D8">
        <f t="shared" ref="D8:G8" si="8">D42+D43+D45+D46+D47</f>
        <v>605.75999999999988</v>
      </c>
      <c r="E8">
        <f t="shared" si="8"/>
        <v>678.82999999999993</v>
      </c>
      <c r="F8">
        <f t="shared" si="8"/>
        <v>618.56000000000006</v>
      </c>
      <c r="G8">
        <f t="shared" si="8"/>
        <v>600.81999999999994</v>
      </c>
      <c r="I8" s="39">
        <f t="shared" si="1"/>
        <v>147.97098693999999</v>
      </c>
      <c r="J8" s="39">
        <f t="shared" si="5"/>
        <v>616.18512959999987</v>
      </c>
      <c r="K8" s="39">
        <f t="shared" si="2"/>
        <v>474.02698899999996</v>
      </c>
      <c r="L8" s="39">
        <f t="shared" si="7"/>
        <v>556.65946368000004</v>
      </c>
      <c r="M8" s="39">
        <f t="shared" si="3"/>
        <v>611.16011219999996</v>
      </c>
    </row>
    <row r="9" spans="1:13">
      <c r="A9" t="s">
        <v>440</v>
      </c>
      <c r="C9">
        <f>C50+C51+C52+C53+C54+C55+C56+C57+C58</f>
        <v>5179.21</v>
      </c>
      <c r="D9">
        <f t="shared" ref="D9:G9" si="9">D50+D51+D52+D53+D54+D55+D56+D57+D58</f>
        <v>6553.28</v>
      </c>
      <c r="E9">
        <f t="shared" si="9"/>
        <v>7174.67</v>
      </c>
      <c r="F9">
        <f t="shared" si="9"/>
        <v>6530.6899999999987</v>
      </c>
      <c r="G9">
        <f t="shared" si="9"/>
        <v>6542.48</v>
      </c>
      <c r="I9" s="39">
        <f t="shared" si="1"/>
        <v>2913.3004457899997</v>
      </c>
      <c r="J9" s="39">
        <f t="shared" si="5"/>
        <v>6666.0619487999993</v>
      </c>
      <c r="K9" s="39">
        <f t="shared" si="2"/>
        <v>5010.0720609999998</v>
      </c>
      <c r="L9" s="39">
        <f t="shared" si="7"/>
        <v>5877.1507903199981</v>
      </c>
      <c r="M9" s="39">
        <f t="shared" si="3"/>
        <v>6655.0760807999995</v>
      </c>
    </row>
    <row r="10" spans="1:13">
      <c r="A10" t="s">
        <v>441</v>
      </c>
      <c r="I10" s="39">
        <f t="shared" si="1"/>
        <v>0</v>
      </c>
      <c r="J10" s="39">
        <f t="shared" si="5"/>
        <v>0</v>
      </c>
      <c r="K10" s="39">
        <f t="shared" si="2"/>
        <v>0</v>
      </c>
      <c r="L10" s="39">
        <f t="shared" si="7"/>
        <v>0</v>
      </c>
      <c r="M10" s="39">
        <f t="shared" si="3"/>
        <v>0</v>
      </c>
    </row>
    <row r="11" spans="1:13">
      <c r="A11" t="s">
        <v>442</v>
      </c>
      <c r="C11">
        <f>SUM(C8:C10)</f>
        <v>5442.27</v>
      </c>
      <c r="D11">
        <f t="shared" ref="D11:G11" si="10">SUM(D8:D10)</f>
        <v>7159.04</v>
      </c>
      <c r="E11">
        <f t="shared" si="10"/>
        <v>7853.5</v>
      </c>
      <c r="F11">
        <f t="shared" si="10"/>
        <v>7149.2499999999991</v>
      </c>
      <c r="G11">
        <f t="shared" si="10"/>
        <v>7143.2999999999993</v>
      </c>
      <c r="I11" s="39">
        <f t="shared" si="1"/>
        <v>3061.27143273</v>
      </c>
      <c r="J11" s="39">
        <f t="shared" si="5"/>
        <v>7282.2470783999997</v>
      </c>
      <c r="K11" s="39">
        <f t="shared" si="2"/>
        <v>5484.0990499999998</v>
      </c>
      <c r="L11" s="39">
        <f t="shared" si="7"/>
        <v>6433.8102539999991</v>
      </c>
      <c r="M11" s="39">
        <f t="shared" si="3"/>
        <v>7266.2361929999988</v>
      </c>
    </row>
    <row r="13" spans="1:13">
      <c r="A13" t="s">
        <v>443</v>
      </c>
      <c r="C13">
        <f>C66+C68+C70+C71+C72+C73+C74</f>
        <v>98.38000000000001</v>
      </c>
      <c r="D13">
        <f t="shared" ref="D13:G13" si="11">D66+D68+D70+D71+D72+D73+D74</f>
        <v>31.5</v>
      </c>
      <c r="E13">
        <f t="shared" si="11"/>
        <v>50.03</v>
      </c>
      <c r="F13">
        <f t="shared" si="11"/>
        <v>30.630000000000003</v>
      </c>
      <c r="G13">
        <f t="shared" si="11"/>
        <v>34.35</v>
      </c>
      <c r="I13" s="39">
        <f t="shared" si="1"/>
        <v>55.33865162</v>
      </c>
      <c r="J13" s="39">
        <f t="shared" si="5"/>
        <v>32.042114999999995</v>
      </c>
      <c r="K13" s="39">
        <f t="shared" si="2"/>
        <v>34.935949000000001</v>
      </c>
      <c r="L13" s="39">
        <f t="shared" si="7"/>
        <v>27.564794640000002</v>
      </c>
      <c r="M13" s="39">
        <f t="shared" si="3"/>
        <v>34.941163500000002</v>
      </c>
    </row>
    <row r="14" spans="1:13">
      <c r="A14" t="s">
        <v>444</v>
      </c>
      <c r="C14">
        <f>C76+C77+C78+C79+C80</f>
        <v>35.97</v>
      </c>
      <c r="D14">
        <f t="shared" ref="D14:G14" si="12">D76+D77+D78+D79+D80</f>
        <v>17.560000000000002</v>
      </c>
      <c r="E14">
        <f t="shared" si="12"/>
        <v>19.36</v>
      </c>
      <c r="F14">
        <f t="shared" si="12"/>
        <v>16.990000000000002</v>
      </c>
      <c r="G14">
        <f t="shared" si="12"/>
        <v>17.48</v>
      </c>
      <c r="I14" s="39">
        <f t="shared" si="1"/>
        <v>20.233089029999999</v>
      </c>
      <c r="J14" s="39">
        <f t="shared" si="5"/>
        <v>17.862207600000001</v>
      </c>
      <c r="K14" s="39">
        <f t="shared" si="2"/>
        <v>13.519088</v>
      </c>
      <c r="L14" s="39">
        <f t="shared" si="7"/>
        <v>15.289776720000001</v>
      </c>
      <c r="M14" s="39">
        <f t="shared" si="3"/>
        <v>17.7808308</v>
      </c>
    </row>
    <row r="15" spans="1:13">
      <c r="A15" t="s">
        <v>445</v>
      </c>
      <c r="I15" s="39">
        <f t="shared" si="1"/>
        <v>0</v>
      </c>
      <c r="J15" s="39">
        <f t="shared" si="5"/>
        <v>0</v>
      </c>
      <c r="K15" s="39">
        <f t="shared" si="2"/>
        <v>0</v>
      </c>
      <c r="L15" s="39">
        <f t="shared" si="7"/>
        <v>0</v>
      </c>
      <c r="M15" s="39">
        <f t="shared" si="3"/>
        <v>0</v>
      </c>
    </row>
    <row r="16" spans="1:13">
      <c r="A16" t="s">
        <v>446</v>
      </c>
      <c r="C16">
        <f>SUM(C13:C15)</f>
        <v>134.35000000000002</v>
      </c>
      <c r="D16">
        <f t="shared" ref="D16:G16" si="13">SUM(D13:D15)</f>
        <v>49.06</v>
      </c>
      <c r="E16">
        <f t="shared" si="13"/>
        <v>69.39</v>
      </c>
      <c r="F16">
        <f t="shared" si="13"/>
        <v>47.620000000000005</v>
      </c>
      <c r="G16">
        <f t="shared" si="13"/>
        <v>51.83</v>
      </c>
      <c r="I16" s="39">
        <f t="shared" si="1"/>
        <v>75.57174065000001</v>
      </c>
      <c r="J16" s="39">
        <f t="shared" si="5"/>
        <v>49.9043226</v>
      </c>
      <c r="K16" s="39">
        <f t="shared" si="2"/>
        <v>48.455037000000004</v>
      </c>
      <c r="L16" s="39">
        <f t="shared" si="7"/>
        <v>42.854571360000001</v>
      </c>
      <c r="M16" s="39">
        <f t="shared" si="3"/>
        <v>52.721994299999999</v>
      </c>
    </row>
    <row r="18" spans="1:13">
      <c r="A18" t="s">
        <v>447</v>
      </c>
      <c r="C18" s="8">
        <f>C3+C8+C13</f>
        <v>471.24</v>
      </c>
      <c r="D18" s="8">
        <f>D3+D8+D13</f>
        <v>670.91999999999985</v>
      </c>
      <c r="E18" s="8">
        <f t="shared" ref="D18:G20" si="14">E3+E8+E13</f>
        <v>781.45999999999992</v>
      </c>
      <c r="F18" s="8">
        <f t="shared" si="14"/>
        <v>681.92000000000007</v>
      </c>
      <c r="G18" s="8">
        <f>G3+G8+G13</f>
        <v>671.87</v>
      </c>
      <c r="I18" s="39">
        <f t="shared" si="1"/>
        <v>265.07202875999997</v>
      </c>
      <c r="J18" s="39">
        <f t="shared" si="5"/>
        <v>682.46653319999984</v>
      </c>
      <c r="K18" s="39">
        <f t="shared" si="2"/>
        <v>545.69351799999993</v>
      </c>
      <c r="L18" s="39">
        <f t="shared" si="7"/>
        <v>613.67890176000003</v>
      </c>
      <c r="M18" s="39">
        <f t="shared" si="3"/>
        <v>683.43288269999994</v>
      </c>
    </row>
    <row r="19" spans="1:13">
      <c r="A19" t="s">
        <v>448</v>
      </c>
      <c r="C19" s="8">
        <f>C4+C9+C14</f>
        <v>5215.18</v>
      </c>
      <c r="D19" s="8">
        <f>D4+D9+D14</f>
        <v>6570.84</v>
      </c>
      <c r="E19" s="8">
        <f t="shared" si="14"/>
        <v>7194.03</v>
      </c>
      <c r="F19" s="8">
        <f t="shared" si="14"/>
        <v>6547.6799999999985</v>
      </c>
      <c r="G19" s="8">
        <f>G4+G9+G14</f>
        <v>6559.9599999999991</v>
      </c>
      <c r="I19" s="39">
        <f t="shared" si="1"/>
        <v>2933.5335348200001</v>
      </c>
      <c r="J19" s="39">
        <f t="shared" si="5"/>
        <v>6683.9241563999994</v>
      </c>
      <c r="K19" s="39">
        <f t="shared" si="2"/>
        <v>5023.5911489999999</v>
      </c>
      <c r="L19" s="39">
        <f t="shared" si="7"/>
        <v>5892.4405670399983</v>
      </c>
      <c r="M19" s="39">
        <f t="shared" si="3"/>
        <v>6672.856911599999</v>
      </c>
    </row>
    <row r="20" spans="1:13">
      <c r="A20" t="s">
        <v>449</v>
      </c>
      <c r="C20" s="8">
        <f>C5+C10+C15</f>
        <v>0</v>
      </c>
      <c r="D20" s="8">
        <f t="shared" si="14"/>
        <v>3.41</v>
      </c>
      <c r="E20" s="8">
        <f t="shared" si="14"/>
        <v>16.16</v>
      </c>
      <c r="F20" s="8">
        <f t="shared" si="14"/>
        <v>4.0599999999999996</v>
      </c>
      <c r="G20" s="8">
        <f t="shared" si="14"/>
        <v>0.02</v>
      </c>
      <c r="I20" s="39">
        <f t="shared" si="1"/>
        <v>0</v>
      </c>
      <c r="J20" s="39">
        <f t="shared" si="5"/>
        <v>3.4686860999999998</v>
      </c>
      <c r="K20" s="39">
        <f t="shared" si="2"/>
        <v>11.284528</v>
      </c>
      <c r="L20" s="39">
        <f t="shared" si="7"/>
        <v>3.6537076799999992</v>
      </c>
      <c r="M20" s="39">
        <f t="shared" si="3"/>
        <v>2.03442E-2</v>
      </c>
    </row>
    <row r="21" spans="1:13">
      <c r="A21" t="s">
        <v>525</v>
      </c>
      <c r="C21" s="8">
        <f>SUM(C18:C20)</f>
        <v>5686.42</v>
      </c>
      <c r="D21" s="8">
        <f t="shared" ref="D21:F21" si="15">SUM(D18:D20)</f>
        <v>7245.17</v>
      </c>
      <c r="E21" s="8">
        <f t="shared" si="15"/>
        <v>7991.65</v>
      </c>
      <c r="F21" s="8">
        <f t="shared" si="15"/>
        <v>7233.6599999999989</v>
      </c>
      <c r="G21" s="8">
        <f>SUM(G18:G20)</f>
        <v>7231.8499999999995</v>
      </c>
      <c r="I21" s="39">
        <f t="shared" si="1"/>
        <v>3198.6055635799999</v>
      </c>
      <c r="J21" s="39">
        <f t="shared" si="5"/>
        <v>7369.8593756999999</v>
      </c>
      <c r="K21" s="39">
        <f t="shared" si="2"/>
        <v>5580.569195</v>
      </c>
      <c r="L21" s="39">
        <f t="shared" si="7"/>
        <v>6509.7731764799983</v>
      </c>
      <c r="M21" s="39">
        <f t="shared" si="3"/>
        <v>7356.3101384999991</v>
      </c>
    </row>
    <row r="25" spans="1:13">
      <c r="A25" s="3" t="s">
        <v>381</v>
      </c>
    </row>
    <row r="26" spans="1:13" ht="15">
      <c r="A26" s="1" t="s">
        <v>380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485</v>
      </c>
      <c r="B27" s="28"/>
      <c r="C27" s="28"/>
      <c r="D27" s="28"/>
      <c r="E27" s="28"/>
      <c r="F27" s="28"/>
      <c r="G27" s="28"/>
      <c r="H27" s="28"/>
    </row>
    <row r="28" spans="1:13">
      <c r="A28" s="27" t="s">
        <v>431</v>
      </c>
      <c r="B28" s="27"/>
      <c r="C28" s="27"/>
      <c r="D28" s="27"/>
      <c r="E28" s="27"/>
      <c r="F28" s="27"/>
      <c r="G28" s="27"/>
      <c r="H28" s="27"/>
    </row>
    <row r="29" spans="1:13" ht="15">
      <c r="A29" s="1" t="s">
        <v>372</v>
      </c>
      <c r="B29" s="1" t="s">
        <v>488</v>
      </c>
      <c r="C29" s="1">
        <v>102.7</v>
      </c>
      <c r="D29" s="1"/>
      <c r="E29" s="1">
        <v>21.04</v>
      </c>
      <c r="F29" s="1"/>
      <c r="G29" s="1"/>
      <c r="H29" s="29" t="s">
        <v>458</v>
      </c>
    </row>
    <row r="30" spans="1:13" ht="15">
      <c r="A30" s="1" t="s">
        <v>373</v>
      </c>
      <c r="B30" s="1" t="s">
        <v>488</v>
      </c>
      <c r="C30" s="1">
        <v>7.1</v>
      </c>
      <c r="D30" s="1">
        <v>2.4900000000000002</v>
      </c>
      <c r="E30" s="1">
        <v>3.51</v>
      </c>
      <c r="F30" s="1">
        <v>2.34</v>
      </c>
      <c r="G30" s="1">
        <v>1.64</v>
      </c>
      <c r="H30" s="29"/>
    </row>
    <row r="31" spans="1:13" ht="15">
      <c r="A31" s="1" t="s">
        <v>374</v>
      </c>
      <c r="B31" s="1" t="s">
        <v>488</v>
      </c>
      <c r="C31" s="1"/>
      <c r="D31" s="1">
        <v>31.17</v>
      </c>
      <c r="E31" s="1">
        <v>28.05</v>
      </c>
      <c r="F31" s="1">
        <v>30.39</v>
      </c>
      <c r="G31" s="1">
        <v>35.06</v>
      </c>
      <c r="H31" s="29" t="s">
        <v>459</v>
      </c>
    </row>
    <row r="32" spans="1:13">
      <c r="A32" s="28" t="s">
        <v>375</v>
      </c>
      <c r="B32" s="28"/>
      <c r="C32" s="28"/>
      <c r="D32" s="28"/>
      <c r="E32" s="28"/>
      <c r="F32" s="28"/>
      <c r="G32" s="28"/>
      <c r="H32" s="28"/>
    </row>
    <row r="33" spans="1:8">
      <c r="A33" s="28" t="s">
        <v>347</v>
      </c>
      <c r="B33" s="28"/>
      <c r="C33" s="28"/>
      <c r="D33" s="28"/>
      <c r="E33" s="28"/>
      <c r="F33" s="28"/>
      <c r="G33" s="28"/>
      <c r="H33" s="28"/>
    </row>
    <row r="34" spans="1:8" ht="15">
      <c r="A34" s="1" t="s">
        <v>376</v>
      </c>
      <c r="B34" s="1" t="s">
        <v>377</v>
      </c>
      <c r="C34" s="1"/>
      <c r="D34" s="1"/>
      <c r="E34" s="1">
        <v>10</v>
      </c>
      <c r="F34" s="1"/>
      <c r="G34" s="1"/>
      <c r="H34" s="29" t="s">
        <v>458</v>
      </c>
    </row>
    <row r="35" spans="1:8" ht="15">
      <c r="A35" s="1" t="s">
        <v>378</v>
      </c>
      <c r="B35" s="1" t="s">
        <v>379</v>
      </c>
      <c r="C35" s="1"/>
      <c r="D35" s="1">
        <v>3.41</v>
      </c>
      <c r="E35" s="1">
        <v>6.16</v>
      </c>
      <c r="F35" s="1">
        <v>4.0599999999999996</v>
      </c>
      <c r="G35" s="1">
        <v>0.02</v>
      </c>
      <c r="H35" s="29" t="s">
        <v>455</v>
      </c>
    </row>
    <row r="38" spans="1:8">
      <c r="A38" s="5" t="s">
        <v>350</v>
      </c>
    </row>
    <row r="39" spans="1:8">
      <c r="A39" s="1" t="s">
        <v>382</v>
      </c>
      <c r="B39" s="1" t="s">
        <v>481</v>
      </c>
      <c r="C39" s="1" t="s">
        <v>482</v>
      </c>
      <c r="D39" s="1" t="s">
        <v>483</v>
      </c>
      <c r="E39" s="1">
        <v>2008</v>
      </c>
      <c r="F39" s="1">
        <v>2009</v>
      </c>
      <c r="G39" s="1" t="s">
        <v>484</v>
      </c>
    </row>
    <row r="40" spans="1:8">
      <c r="A40" s="72" t="s">
        <v>485</v>
      </c>
      <c r="B40" s="72"/>
      <c r="C40" s="72"/>
      <c r="D40" s="72"/>
      <c r="E40" s="72"/>
      <c r="F40" s="72"/>
      <c r="G40" s="72"/>
    </row>
    <row r="41" spans="1:8">
      <c r="A41" s="73" t="s">
        <v>486</v>
      </c>
      <c r="B41" s="73"/>
      <c r="C41" s="73"/>
      <c r="D41" s="73"/>
      <c r="E41" s="73"/>
      <c r="F41" s="73"/>
      <c r="G41" s="73"/>
    </row>
    <row r="42" spans="1:8" ht="15">
      <c r="A42" s="1" t="s">
        <v>383</v>
      </c>
      <c r="B42" s="1" t="s">
        <v>488</v>
      </c>
      <c r="C42" s="1"/>
      <c r="D42" s="1"/>
      <c r="E42" s="1">
        <v>69</v>
      </c>
      <c r="F42" s="1">
        <v>0</v>
      </c>
      <c r="G42" s="1"/>
      <c r="H42" s="29" t="s">
        <v>458</v>
      </c>
    </row>
    <row r="43" spans="1:8">
      <c r="A43" s="1" t="s">
        <v>384</v>
      </c>
      <c r="B43" s="1" t="s">
        <v>488</v>
      </c>
      <c r="C43" s="1">
        <v>165</v>
      </c>
      <c r="D43" s="1">
        <v>586.66999999999996</v>
      </c>
      <c r="E43" s="1">
        <v>580</v>
      </c>
      <c r="F43" s="1">
        <v>600</v>
      </c>
      <c r="G43" s="1">
        <v>580</v>
      </c>
    </row>
    <row r="44" spans="1:8">
      <c r="A44" s="73" t="s">
        <v>431</v>
      </c>
      <c r="B44" s="73"/>
      <c r="C44" s="73"/>
      <c r="D44" s="73"/>
      <c r="E44" s="73"/>
      <c r="F44" s="73"/>
      <c r="G44" s="73"/>
    </row>
    <row r="45" spans="1:8" ht="15">
      <c r="A45" s="1" t="s">
        <v>372</v>
      </c>
      <c r="B45" s="1" t="s">
        <v>488</v>
      </c>
      <c r="C45" s="1">
        <v>91.72</v>
      </c>
      <c r="D45" s="1"/>
      <c r="E45" s="1">
        <v>11.93</v>
      </c>
      <c r="F45" s="1"/>
      <c r="G45" s="1"/>
      <c r="H45" s="29" t="s">
        <v>458</v>
      </c>
    </row>
    <row r="46" spans="1:8">
      <c r="A46" s="1" t="s">
        <v>385</v>
      </c>
      <c r="B46" s="1" t="s">
        <v>488</v>
      </c>
      <c r="C46" s="1">
        <v>6.34</v>
      </c>
      <c r="D46" s="1">
        <v>1.41</v>
      </c>
      <c r="E46" s="1">
        <v>1.99</v>
      </c>
      <c r="F46" s="1">
        <v>1.33</v>
      </c>
      <c r="G46" s="1">
        <v>0.93</v>
      </c>
    </row>
    <row r="47" spans="1:8" ht="15">
      <c r="A47" s="1" t="s">
        <v>374</v>
      </c>
      <c r="B47" s="1" t="s">
        <v>488</v>
      </c>
      <c r="C47" s="1"/>
      <c r="D47" s="1">
        <v>17.68</v>
      </c>
      <c r="E47" s="1">
        <v>15.91</v>
      </c>
      <c r="F47" s="1">
        <v>17.23</v>
      </c>
      <c r="G47" s="1">
        <v>19.89</v>
      </c>
      <c r="H47" s="29" t="s">
        <v>459</v>
      </c>
    </row>
    <row r="48" spans="1:8">
      <c r="A48" s="72" t="s">
        <v>434</v>
      </c>
      <c r="B48" s="72"/>
      <c r="C48" s="72"/>
      <c r="D48" s="72"/>
      <c r="E48" s="72"/>
      <c r="F48" s="72"/>
      <c r="G48" s="72"/>
    </row>
    <row r="49" spans="1:8">
      <c r="A49" s="73" t="s">
        <v>435</v>
      </c>
      <c r="B49" s="73"/>
      <c r="C49" s="73"/>
      <c r="D49" s="73"/>
      <c r="E49" s="73"/>
      <c r="F49" s="73"/>
      <c r="G49" s="73"/>
    </row>
    <row r="50" spans="1:8" ht="15">
      <c r="A50" s="1" t="s">
        <v>386</v>
      </c>
      <c r="B50" s="1" t="s">
        <v>488</v>
      </c>
      <c r="C50" s="1">
        <v>706.44</v>
      </c>
      <c r="D50" s="1"/>
      <c r="E50" s="1"/>
      <c r="F50" s="1"/>
      <c r="G50" s="1"/>
      <c r="H50" s="29" t="s">
        <v>458</v>
      </c>
    </row>
    <row r="51" spans="1:8" ht="15">
      <c r="A51" s="1" t="s">
        <v>387</v>
      </c>
      <c r="B51" s="1" t="s">
        <v>488</v>
      </c>
      <c r="C51" s="1">
        <v>231.73</v>
      </c>
      <c r="D51" s="1"/>
      <c r="E51" s="1"/>
      <c r="F51" s="1"/>
      <c r="G51" s="1"/>
      <c r="H51" s="29" t="s">
        <v>458</v>
      </c>
    </row>
    <row r="52" spans="1:8" ht="15">
      <c r="A52" s="1" t="s">
        <v>299</v>
      </c>
      <c r="B52" s="1" t="s">
        <v>377</v>
      </c>
      <c r="C52" s="1">
        <v>520.13</v>
      </c>
      <c r="D52" s="1"/>
      <c r="E52" s="1">
        <v>560</v>
      </c>
      <c r="F52" s="1">
        <v>28</v>
      </c>
      <c r="G52" s="1"/>
      <c r="H52" s="29" t="s">
        <v>458</v>
      </c>
    </row>
    <row r="53" spans="1:8">
      <c r="A53" s="1" t="s">
        <v>300</v>
      </c>
      <c r="B53" s="1" t="s">
        <v>379</v>
      </c>
      <c r="C53" s="1">
        <v>4.07</v>
      </c>
      <c r="D53" s="1">
        <v>9.43</v>
      </c>
      <c r="E53" s="1">
        <v>9.1199999999999992</v>
      </c>
      <c r="F53" s="1">
        <v>9.44</v>
      </c>
      <c r="G53" s="1">
        <v>9.7200000000000006</v>
      </c>
    </row>
    <row r="54" spans="1:8" ht="15">
      <c r="A54" s="1" t="s">
        <v>301</v>
      </c>
      <c r="B54" s="1" t="s">
        <v>488</v>
      </c>
      <c r="C54" s="1">
        <v>3.5</v>
      </c>
      <c r="D54" s="1"/>
      <c r="E54" s="1"/>
      <c r="F54" s="1"/>
      <c r="G54" s="1"/>
      <c r="H54" s="29" t="s">
        <v>458</v>
      </c>
    </row>
    <row r="55" spans="1:8">
      <c r="A55" s="1" t="s">
        <v>302</v>
      </c>
      <c r="B55" s="1" t="s">
        <v>488</v>
      </c>
      <c r="C55" s="1">
        <v>2099.12</v>
      </c>
      <c r="D55" s="1">
        <v>5020.7299999999996</v>
      </c>
      <c r="E55" s="1">
        <v>5069.75</v>
      </c>
      <c r="F55" s="1">
        <v>4996.2299999999996</v>
      </c>
      <c r="G55" s="1">
        <v>4996.2299999999996</v>
      </c>
    </row>
    <row r="56" spans="1:8">
      <c r="A56" s="1" t="s">
        <v>398</v>
      </c>
      <c r="B56" s="1" t="s">
        <v>488</v>
      </c>
      <c r="C56" s="1">
        <v>793.33</v>
      </c>
      <c r="D56" s="1">
        <v>983.33</v>
      </c>
      <c r="E56" s="1">
        <v>970</v>
      </c>
      <c r="F56" s="1">
        <v>980</v>
      </c>
      <c r="G56" s="1">
        <v>1000</v>
      </c>
    </row>
    <row r="57" spans="1:8">
      <c r="A57" s="1" t="s">
        <v>255</v>
      </c>
      <c r="B57" s="1" t="s">
        <v>488</v>
      </c>
      <c r="C57" s="1">
        <v>571.29999999999995</v>
      </c>
      <c r="D57" s="1">
        <v>539.79</v>
      </c>
      <c r="E57" s="1">
        <v>565.79999999999995</v>
      </c>
      <c r="F57" s="1">
        <v>517.02</v>
      </c>
      <c r="G57" s="1">
        <v>536.53</v>
      </c>
    </row>
    <row r="58" spans="1:8" ht="15">
      <c r="A58" s="1" t="s">
        <v>256</v>
      </c>
      <c r="B58" s="1" t="s">
        <v>488</v>
      </c>
      <c r="C58" s="1">
        <v>249.59</v>
      </c>
      <c r="D58" s="1"/>
      <c r="E58" s="1"/>
      <c r="F58" s="1"/>
      <c r="G58" s="1"/>
      <c r="H58" s="29" t="s">
        <v>458</v>
      </c>
    </row>
    <row r="59" spans="1:8">
      <c r="A59" s="72" t="s">
        <v>349</v>
      </c>
      <c r="B59" s="72"/>
      <c r="C59" s="72"/>
      <c r="D59" s="72"/>
      <c r="E59" s="72"/>
      <c r="F59" s="72"/>
      <c r="G59" s="72"/>
    </row>
    <row r="62" spans="1:8">
      <c r="A62" s="5" t="s">
        <v>323</v>
      </c>
    </row>
    <row r="63" spans="1:8">
      <c r="A63" s="1" t="s">
        <v>273</v>
      </c>
      <c r="B63" s="1" t="s">
        <v>481</v>
      </c>
      <c r="C63" s="1" t="s">
        <v>482</v>
      </c>
      <c r="D63" s="1" t="s">
        <v>483</v>
      </c>
      <c r="E63" s="1">
        <v>2008</v>
      </c>
      <c r="F63" s="1">
        <v>2009</v>
      </c>
      <c r="G63" s="1" t="s">
        <v>484</v>
      </c>
    </row>
    <row r="64" spans="1:8">
      <c r="A64" s="72" t="s">
        <v>485</v>
      </c>
      <c r="B64" s="72"/>
      <c r="C64" s="72"/>
      <c r="D64" s="72"/>
      <c r="E64" s="72"/>
      <c r="F64" s="72"/>
      <c r="G64" s="72"/>
    </row>
    <row r="65" spans="1:8">
      <c r="A65" s="73" t="s">
        <v>486</v>
      </c>
      <c r="B65" s="73"/>
      <c r="C65" s="73"/>
      <c r="D65" s="73"/>
      <c r="E65" s="73"/>
      <c r="F65" s="73"/>
      <c r="G65" s="73"/>
    </row>
    <row r="66" spans="1:8" ht="15">
      <c r="A66" s="1" t="s">
        <v>351</v>
      </c>
      <c r="B66" s="1" t="s">
        <v>379</v>
      </c>
      <c r="C66" s="1"/>
      <c r="D66" s="1"/>
      <c r="E66" s="1"/>
      <c r="F66" s="1"/>
      <c r="G66" s="1"/>
      <c r="H66" s="29" t="s">
        <v>458</v>
      </c>
    </row>
    <row r="67" spans="1:8">
      <c r="A67" s="73" t="s">
        <v>361</v>
      </c>
      <c r="B67" s="73"/>
      <c r="C67" s="73"/>
      <c r="D67" s="73"/>
      <c r="E67" s="73"/>
      <c r="F67" s="73"/>
      <c r="G67" s="73"/>
    </row>
    <row r="68" spans="1:8" ht="15">
      <c r="A68" s="1" t="s">
        <v>352</v>
      </c>
      <c r="B68" s="1" t="s">
        <v>379</v>
      </c>
      <c r="C68" s="1">
        <v>5.36</v>
      </c>
      <c r="D68" s="1"/>
      <c r="E68" s="1"/>
      <c r="F68" s="1"/>
      <c r="G68" s="1"/>
      <c r="H68" s="29" t="s">
        <v>458</v>
      </c>
    </row>
    <row r="69" spans="1:8">
      <c r="A69" s="73" t="s">
        <v>431</v>
      </c>
      <c r="B69" s="73"/>
      <c r="C69" s="73"/>
      <c r="D69" s="73"/>
      <c r="E69" s="73"/>
      <c r="F69" s="73"/>
      <c r="G69" s="73"/>
    </row>
    <row r="70" spans="1:8" ht="15">
      <c r="A70" s="1" t="s">
        <v>372</v>
      </c>
      <c r="B70" s="1" t="s">
        <v>488</v>
      </c>
      <c r="C70" s="1">
        <v>79.010000000000005</v>
      </c>
      <c r="D70" s="1"/>
      <c r="E70" s="1">
        <v>19.690000000000001</v>
      </c>
      <c r="F70" s="1"/>
      <c r="G70" s="1"/>
      <c r="H70" s="29" t="s">
        <v>458</v>
      </c>
    </row>
    <row r="71" spans="1:8">
      <c r="A71" s="1" t="s">
        <v>373</v>
      </c>
      <c r="B71" s="1" t="s">
        <v>488</v>
      </c>
      <c r="C71" s="1">
        <v>5.48</v>
      </c>
      <c r="D71" s="1">
        <v>2.33</v>
      </c>
      <c r="E71" s="1">
        <v>3.28</v>
      </c>
      <c r="F71" s="1">
        <v>2.19</v>
      </c>
      <c r="G71" s="1">
        <v>1.53</v>
      </c>
    </row>
    <row r="72" spans="1:8" ht="15">
      <c r="A72" s="1" t="s">
        <v>353</v>
      </c>
      <c r="B72" s="1" t="s">
        <v>488</v>
      </c>
      <c r="C72" s="1">
        <v>5.6</v>
      </c>
      <c r="D72" s="1"/>
      <c r="E72" s="1">
        <v>0.8</v>
      </c>
      <c r="F72" s="1"/>
      <c r="G72" s="1"/>
      <c r="H72" s="29" t="s">
        <v>458</v>
      </c>
    </row>
    <row r="73" spans="1:8" ht="15">
      <c r="A73" s="1" t="s">
        <v>354</v>
      </c>
      <c r="B73" s="1" t="s">
        <v>488</v>
      </c>
      <c r="C73" s="1">
        <v>2.93</v>
      </c>
      <c r="D73" s="1"/>
      <c r="E73" s="1"/>
      <c r="F73" s="1"/>
      <c r="G73" s="1"/>
      <c r="H73" s="29" t="s">
        <v>458</v>
      </c>
    </row>
    <row r="74" spans="1:8" ht="15">
      <c r="A74" s="1" t="s">
        <v>374</v>
      </c>
      <c r="B74" s="1" t="s">
        <v>488</v>
      </c>
      <c r="C74" s="1"/>
      <c r="D74" s="1">
        <v>29.17</v>
      </c>
      <c r="E74" s="1">
        <v>26.26</v>
      </c>
      <c r="F74" s="1">
        <v>28.44</v>
      </c>
      <c r="G74" s="1">
        <v>32.82</v>
      </c>
      <c r="H74" s="29" t="s">
        <v>459</v>
      </c>
    </row>
    <row r="75" spans="1:8">
      <c r="A75" s="72" t="s">
        <v>434</v>
      </c>
      <c r="B75" s="72"/>
      <c r="C75" s="72"/>
      <c r="D75" s="72"/>
      <c r="E75" s="72"/>
      <c r="F75" s="72"/>
      <c r="G75" s="72"/>
    </row>
    <row r="76" spans="1:8" ht="15">
      <c r="A76" s="1" t="s">
        <v>269</v>
      </c>
      <c r="B76" s="1" t="s">
        <v>377</v>
      </c>
      <c r="C76" s="1"/>
      <c r="D76" s="1">
        <v>2.96</v>
      </c>
      <c r="E76" s="1">
        <v>2.96</v>
      </c>
      <c r="F76" s="1">
        <v>2.96</v>
      </c>
      <c r="G76" s="1">
        <v>2.96</v>
      </c>
      <c r="H76" s="29" t="s">
        <v>460</v>
      </c>
    </row>
    <row r="77" spans="1:8" ht="15">
      <c r="A77" s="1" t="s">
        <v>270</v>
      </c>
      <c r="B77" s="1" t="s">
        <v>377</v>
      </c>
      <c r="C77" s="1"/>
      <c r="D77" s="1">
        <v>1.05</v>
      </c>
      <c r="E77" s="1">
        <v>1.05</v>
      </c>
      <c r="F77" s="1">
        <v>1.05</v>
      </c>
      <c r="G77" s="1">
        <v>1.05</v>
      </c>
      <c r="H77" s="29" t="s">
        <v>460</v>
      </c>
    </row>
    <row r="78" spans="1:8">
      <c r="A78" s="1" t="s">
        <v>255</v>
      </c>
      <c r="B78" s="1" t="s">
        <v>488</v>
      </c>
      <c r="C78" s="1">
        <v>23.7</v>
      </c>
      <c r="D78" s="1">
        <v>13.55</v>
      </c>
      <c r="E78" s="1">
        <v>14.2</v>
      </c>
      <c r="F78" s="1">
        <v>12.98</v>
      </c>
      <c r="G78" s="1">
        <v>13.47</v>
      </c>
    </row>
    <row r="79" spans="1:8" ht="15">
      <c r="A79" s="1" t="s">
        <v>271</v>
      </c>
      <c r="B79" s="1" t="s">
        <v>488</v>
      </c>
      <c r="C79" s="1">
        <v>8.0500000000000007</v>
      </c>
      <c r="D79" s="1"/>
      <c r="E79" s="1">
        <v>1.1499999999999999</v>
      </c>
      <c r="F79" s="1"/>
      <c r="G79" s="1"/>
      <c r="H79" s="29" t="s">
        <v>458</v>
      </c>
    </row>
    <row r="80" spans="1:8" ht="22">
      <c r="A80" s="1" t="s">
        <v>272</v>
      </c>
      <c r="B80" s="1" t="s">
        <v>488</v>
      </c>
      <c r="C80" s="1">
        <v>4.22</v>
      </c>
      <c r="D80" s="1"/>
      <c r="E80" s="1"/>
      <c r="F80" s="1"/>
      <c r="G80" s="1"/>
      <c r="H80" s="29" t="s">
        <v>458</v>
      </c>
    </row>
    <row r="81" spans="1:7">
      <c r="A81" s="72" t="s">
        <v>349</v>
      </c>
      <c r="B81" s="72"/>
      <c r="C81" s="72"/>
      <c r="D81" s="72"/>
      <c r="E81" s="72"/>
      <c r="F81" s="72"/>
      <c r="G81" s="72"/>
    </row>
  </sheetData>
  <mergeCells count="12">
    <mergeCell ref="A41:G41"/>
    <mergeCell ref="A40:G40"/>
    <mergeCell ref="A67:G67"/>
    <mergeCell ref="A69:G69"/>
    <mergeCell ref="A75:G75"/>
    <mergeCell ref="A81:G81"/>
    <mergeCell ref="A44:G44"/>
    <mergeCell ref="A48:G48"/>
    <mergeCell ref="A49:G49"/>
    <mergeCell ref="A59:G59"/>
    <mergeCell ref="A64:G64"/>
    <mergeCell ref="A65:G65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B1" workbookViewId="0">
      <selection activeCell="M21" sqref="I3:M21"/>
    </sheetView>
  </sheetViews>
  <sheetFormatPr baseColWidth="10" defaultRowHeight="13" x14ac:dyDescent="0"/>
  <cols>
    <col min="1" max="1" width="31.5703125" customWidth="1"/>
    <col min="8" max="8" width="10.7109375" style="16"/>
  </cols>
  <sheetData>
    <row r="1" spans="1:13">
      <c r="A1" s="26" t="s">
        <v>514</v>
      </c>
      <c r="I1" s="26" t="s">
        <v>462</v>
      </c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482</v>
      </c>
      <c r="J2" s="25" t="s">
        <v>483</v>
      </c>
      <c r="K2" s="25">
        <v>2008</v>
      </c>
      <c r="L2" s="25">
        <v>2009</v>
      </c>
      <c r="M2" s="25" t="s">
        <v>484</v>
      </c>
    </row>
    <row r="3" spans="1:13">
      <c r="A3" t="s">
        <v>531</v>
      </c>
      <c r="I3" s="41">
        <f>C3*1.0485</f>
        <v>0</v>
      </c>
      <c r="J3" s="41">
        <f>D3*1.3362</f>
        <v>0</v>
      </c>
      <c r="K3" s="41">
        <f>E3*1.3919</f>
        <v>0</v>
      </c>
      <c r="L3" s="41">
        <f>F3*1.4406</f>
        <v>0</v>
      </c>
      <c r="M3" s="41">
        <f>G3*1.3362</f>
        <v>0</v>
      </c>
    </row>
    <row r="4" spans="1:13">
      <c r="A4" t="s">
        <v>436</v>
      </c>
      <c r="I4" s="41">
        <f t="shared" ref="I4:I21" si="0">C4*1.0485</f>
        <v>0</v>
      </c>
      <c r="J4" s="41">
        <f t="shared" ref="J4:J21" si="1">D4*1.3362</f>
        <v>0</v>
      </c>
      <c r="K4" s="41">
        <f t="shared" ref="K4:K6" si="2">E4*1.3919</f>
        <v>0</v>
      </c>
      <c r="L4" s="41">
        <f t="shared" ref="L4:L6" si="3">F4*1.4406</f>
        <v>0</v>
      </c>
      <c r="M4" s="41">
        <f t="shared" ref="M4:M21" si="4">G4*1.3362</f>
        <v>0</v>
      </c>
    </row>
    <row r="5" spans="1:13">
      <c r="A5" t="s">
        <v>437</v>
      </c>
      <c r="I5" s="41">
        <f t="shared" si="0"/>
        <v>0</v>
      </c>
      <c r="J5" s="41">
        <f t="shared" si="1"/>
        <v>0</v>
      </c>
      <c r="K5" s="41">
        <f t="shared" si="2"/>
        <v>0</v>
      </c>
      <c r="L5" s="41">
        <f t="shared" si="3"/>
        <v>0</v>
      </c>
      <c r="M5" s="41">
        <f t="shared" si="4"/>
        <v>0</v>
      </c>
    </row>
    <row r="6" spans="1:13">
      <c r="A6" t="s">
        <v>438</v>
      </c>
      <c r="C6">
        <f>SUM(C3:C5)</f>
        <v>0</v>
      </c>
      <c r="D6">
        <f t="shared" ref="D6:G6" si="5">SUM(D3:D5)</f>
        <v>0</v>
      </c>
      <c r="E6">
        <f t="shared" si="5"/>
        <v>0</v>
      </c>
      <c r="F6">
        <f t="shared" si="5"/>
        <v>0</v>
      </c>
      <c r="G6">
        <f t="shared" si="5"/>
        <v>0</v>
      </c>
      <c r="I6" s="41">
        <f t="shared" si="0"/>
        <v>0</v>
      </c>
      <c r="J6" s="41">
        <f t="shared" si="1"/>
        <v>0</v>
      </c>
      <c r="K6" s="41">
        <f t="shared" si="2"/>
        <v>0</v>
      </c>
      <c r="L6" s="41">
        <f t="shared" si="3"/>
        <v>0</v>
      </c>
      <c r="M6" s="41">
        <f t="shared" si="4"/>
        <v>0</v>
      </c>
    </row>
    <row r="7" spans="1:13">
      <c r="I7" s="41"/>
      <c r="J7" s="41"/>
      <c r="K7" s="41"/>
      <c r="L7" s="41"/>
      <c r="M7" s="41"/>
    </row>
    <row r="8" spans="1:13">
      <c r="A8" t="s">
        <v>439</v>
      </c>
      <c r="I8" s="41">
        <f t="shared" si="0"/>
        <v>0</v>
      </c>
      <c r="J8" s="41">
        <f t="shared" si="1"/>
        <v>0</v>
      </c>
      <c r="K8" s="41">
        <f>E8*1.3919</f>
        <v>0</v>
      </c>
      <c r="L8" s="41">
        <f>F8*1.4406</f>
        <v>0</v>
      </c>
      <c r="M8" s="41">
        <f t="shared" si="4"/>
        <v>0</v>
      </c>
    </row>
    <row r="9" spans="1:13">
      <c r="A9" t="s">
        <v>440</v>
      </c>
      <c r="C9">
        <f>C30+C31+C32+C33+C34+C35</f>
        <v>1758.0100000000002</v>
      </c>
      <c r="D9">
        <f t="shared" ref="D9:G9" si="6">D30+D31+D32+D33+D34+D35</f>
        <v>1686.8999999999999</v>
      </c>
      <c r="E9">
        <f t="shared" si="6"/>
        <v>1798.9599999999998</v>
      </c>
      <c r="F9">
        <f t="shared" si="6"/>
        <v>1629.75</v>
      </c>
      <c r="G9">
        <f t="shared" si="6"/>
        <v>1640.07</v>
      </c>
      <c r="I9" s="41">
        <f t="shared" si="0"/>
        <v>1843.2734850000002</v>
      </c>
      <c r="J9" s="41">
        <f t="shared" si="1"/>
        <v>2254.0357799999997</v>
      </c>
      <c r="K9" s="41">
        <f t="shared" ref="K9:K11" si="7">E9*1.3919</f>
        <v>2503.9724239999996</v>
      </c>
      <c r="L9" s="41">
        <f t="shared" ref="L9:L11" si="8">F9*1.4406</f>
        <v>2347.8178500000004</v>
      </c>
      <c r="M9" s="41">
        <f t="shared" si="4"/>
        <v>2191.461534</v>
      </c>
    </row>
    <row r="10" spans="1:13">
      <c r="A10" t="s">
        <v>441</v>
      </c>
      <c r="I10" s="41">
        <f t="shared" si="0"/>
        <v>0</v>
      </c>
      <c r="J10" s="41">
        <f t="shared" si="1"/>
        <v>0</v>
      </c>
      <c r="K10" s="41">
        <f t="shared" si="7"/>
        <v>0</v>
      </c>
      <c r="L10" s="41">
        <f t="shared" si="8"/>
        <v>0</v>
      </c>
      <c r="M10" s="41">
        <f t="shared" si="4"/>
        <v>0</v>
      </c>
    </row>
    <row r="11" spans="1:13">
      <c r="A11" t="s">
        <v>442</v>
      </c>
      <c r="C11">
        <f>SUM(C8:C10)</f>
        <v>1758.0100000000002</v>
      </c>
      <c r="D11">
        <f t="shared" ref="D11:G11" si="9">SUM(D8:D10)</f>
        <v>1686.8999999999999</v>
      </c>
      <c r="E11">
        <f t="shared" si="9"/>
        <v>1798.9599999999998</v>
      </c>
      <c r="F11">
        <f t="shared" si="9"/>
        <v>1629.75</v>
      </c>
      <c r="G11">
        <f t="shared" si="9"/>
        <v>1640.07</v>
      </c>
      <c r="I11" s="41">
        <f t="shared" si="0"/>
        <v>1843.2734850000002</v>
      </c>
      <c r="J11" s="41">
        <f t="shared" si="1"/>
        <v>2254.0357799999997</v>
      </c>
      <c r="K11" s="41">
        <f t="shared" si="7"/>
        <v>2503.9724239999996</v>
      </c>
      <c r="L11" s="41">
        <f t="shared" si="8"/>
        <v>2347.8178500000004</v>
      </c>
      <c r="M11" s="41">
        <f t="shared" si="4"/>
        <v>2191.461534</v>
      </c>
    </row>
    <row r="12" spans="1:13">
      <c r="I12" s="41"/>
      <c r="J12" s="41"/>
      <c r="K12" s="41"/>
      <c r="L12" s="41"/>
      <c r="M12" s="41"/>
    </row>
    <row r="13" spans="1:13">
      <c r="A13" t="s">
        <v>443</v>
      </c>
      <c r="I13" s="41">
        <f t="shared" si="0"/>
        <v>0</v>
      </c>
      <c r="J13" s="41">
        <f t="shared" si="1"/>
        <v>0</v>
      </c>
      <c r="K13" s="41">
        <f>E13*1.3919</f>
        <v>0</v>
      </c>
      <c r="L13" s="41">
        <f>F13*1.4406</f>
        <v>0</v>
      </c>
      <c r="M13" s="41">
        <f t="shared" si="4"/>
        <v>0</v>
      </c>
    </row>
    <row r="14" spans="1:13">
      <c r="A14" t="s">
        <v>444</v>
      </c>
      <c r="C14">
        <f>C44+C45</f>
        <v>0</v>
      </c>
      <c r="D14">
        <f t="shared" ref="D14:G14" si="10">D44+D45</f>
        <v>51.19</v>
      </c>
      <c r="E14">
        <f t="shared" si="10"/>
        <v>52.4</v>
      </c>
      <c r="F14">
        <f t="shared" si="10"/>
        <v>34.130000000000003</v>
      </c>
      <c r="G14">
        <f t="shared" si="10"/>
        <v>71.070000000000007</v>
      </c>
      <c r="I14" s="41">
        <f t="shared" si="0"/>
        <v>0</v>
      </c>
      <c r="J14" s="41">
        <f t="shared" si="1"/>
        <v>68.400077999999993</v>
      </c>
      <c r="K14" s="41">
        <f t="shared" ref="K14:K16" si="11">E14*1.3919</f>
        <v>72.935559999999995</v>
      </c>
      <c r="L14" s="41">
        <f t="shared" ref="L14:L16" si="12">F14*1.4406</f>
        <v>49.167678000000009</v>
      </c>
      <c r="M14" s="41">
        <f t="shared" si="4"/>
        <v>94.963734000000017</v>
      </c>
    </row>
    <row r="15" spans="1:13">
      <c r="A15" t="s">
        <v>445</v>
      </c>
      <c r="I15" s="41">
        <f t="shared" si="0"/>
        <v>0</v>
      </c>
      <c r="J15" s="41">
        <f t="shared" si="1"/>
        <v>0</v>
      </c>
      <c r="K15" s="41">
        <f t="shared" si="11"/>
        <v>0</v>
      </c>
      <c r="L15" s="41">
        <f t="shared" si="12"/>
        <v>0</v>
      </c>
      <c r="M15" s="41">
        <f t="shared" si="4"/>
        <v>0</v>
      </c>
    </row>
    <row r="16" spans="1:13">
      <c r="A16" t="s">
        <v>446</v>
      </c>
      <c r="C16">
        <f>SUM(C13:C15)</f>
        <v>0</v>
      </c>
      <c r="D16">
        <f t="shared" ref="D16:G16" si="13">SUM(D13:D15)</f>
        <v>51.19</v>
      </c>
      <c r="E16">
        <f t="shared" si="13"/>
        <v>52.4</v>
      </c>
      <c r="F16">
        <f t="shared" si="13"/>
        <v>34.130000000000003</v>
      </c>
      <c r="G16">
        <f t="shared" si="13"/>
        <v>71.070000000000007</v>
      </c>
      <c r="I16" s="41">
        <f t="shared" si="0"/>
        <v>0</v>
      </c>
      <c r="J16" s="41">
        <f t="shared" si="1"/>
        <v>68.400077999999993</v>
      </c>
      <c r="K16" s="41">
        <f t="shared" si="11"/>
        <v>72.935559999999995</v>
      </c>
      <c r="L16" s="41">
        <f t="shared" si="12"/>
        <v>49.167678000000009</v>
      </c>
      <c r="M16" s="41">
        <f t="shared" si="4"/>
        <v>94.963734000000017</v>
      </c>
    </row>
    <row r="17" spans="1:13">
      <c r="I17" s="41"/>
      <c r="J17" s="41"/>
      <c r="K17" s="41"/>
      <c r="L17" s="41"/>
      <c r="M17" s="41"/>
    </row>
    <row r="18" spans="1:13">
      <c r="A18" t="s">
        <v>447</v>
      </c>
      <c r="C18" s="8">
        <f>C3+C8+C13</f>
        <v>0</v>
      </c>
      <c r="D18" s="8">
        <f>D3+D8+D13</f>
        <v>0</v>
      </c>
      <c r="E18" s="8">
        <f t="shared" ref="D18:G20" si="14">E3+E8+E13</f>
        <v>0</v>
      </c>
      <c r="F18" s="8">
        <f t="shared" si="14"/>
        <v>0</v>
      </c>
      <c r="G18" s="8">
        <f>G3+G8+G13</f>
        <v>0</v>
      </c>
      <c r="I18" s="41">
        <f t="shared" si="0"/>
        <v>0</v>
      </c>
      <c r="J18" s="41">
        <f t="shared" si="1"/>
        <v>0</v>
      </c>
      <c r="K18" s="41">
        <f>E18*1.3919</f>
        <v>0</v>
      </c>
      <c r="L18" s="41">
        <f>F18*1.4406</f>
        <v>0</v>
      </c>
      <c r="M18" s="41">
        <f t="shared" si="4"/>
        <v>0</v>
      </c>
    </row>
    <row r="19" spans="1:13">
      <c r="A19" t="s">
        <v>448</v>
      </c>
      <c r="C19" s="8">
        <f>C4+C9+C14</f>
        <v>1758.0100000000002</v>
      </c>
      <c r="D19" s="8">
        <f>D4+D9+D14</f>
        <v>1738.09</v>
      </c>
      <c r="E19" s="8">
        <f t="shared" si="14"/>
        <v>1851.36</v>
      </c>
      <c r="F19" s="8">
        <f t="shared" si="14"/>
        <v>1663.88</v>
      </c>
      <c r="G19" s="8">
        <f>G4+G9+G14</f>
        <v>1711.1399999999999</v>
      </c>
      <c r="I19" s="41">
        <f t="shared" si="0"/>
        <v>1843.2734850000002</v>
      </c>
      <c r="J19" s="41">
        <f t="shared" si="1"/>
        <v>2322.4358579999998</v>
      </c>
      <c r="K19" s="41">
        <f t="shared" ref="K19:K21" si="15">E19*1.3919</f>
        <v>2576.9079839999995</v>
      </c>
      <c r="L19" s="41">
        <f t="shared" ref="L19:L21" si="16">F19*1.4406</f>
        <v>2396.9855280000002</v>
      </c>
      <c r="M19" s="41">
        <f t="shared" si="4"/>
        <v>2286.425268</v>
      </c>
    </row>
    <row r="20" spans="1:13">
      <c r="A20" t="s">
        <v>449</v>
      </c>
      <c r="C20" s="8">
        <f>C5+C10+C15</f>
        <v>0</v>
      </c>
      <c r="D20" s="8">
        <f t="shared" si="14"/>
        <v>0</v>
      </c>
      <c r="E20" s="8">
        <f t="shared" si="14"/>
        <v>0</v>
      </c>
      <c r="F20" s="8">
        <f t="shared" si="14"/>
        <v>0</v>
      </c>
      <c r="G20" s="8">
        <f t="shared" si="14"/>
        <v>0</v>
      </c>
      <c r="I20" s="41">
        <f t="shared" si="0"/>
        <v>0</v>
      </c>
      <c r="J20" s="41">
        <f t="shared" si="1"/>
        <v>0</v>
      </c>
      <c r="K20" s="41">
        <f t="shared" si="15"/>
        <v>0</v>
      </c>
      <c r="L20" s="41">
        <f t="shared" si="16"/>
        <v>0</v>
      </c>
      <c r="M20" s="41">
        <f t="shared" si="4"/>
        <v>0</v>
      </c>
    </row>
    <row r="21" spans="1:13">
      <c r="A21" t="s">
        <v>525</v>
      </c>
      <c r="C21" s="8">
        <f>SUM(C18:C20)</f>
        <v>1758.0100000000002</v>
      </c>
      <c r="D21" s="8">
        <f t="shared" ref="D21:F21" si="17">SUM(D18:D20)</f>
        <v>1738.09</v>
      </c>
      <c r="E21" s="8">
        <f t="shared" si="17"/>
        <v>1851.36</v>
      </c>
      <c r="F21" s="8">
        <f t="shared" si="17"/>
        <v>1663.88</v>
      </c>
      <c r="G21" s="8">
        <f>SUM(G18:G20)</f>
        <v>1711.1399999999999</v>
      </c>
      <c r="I21" s="41">
        <f t="shared" si="0"/>
        <v>1843.2734850000002</v>
      </c>
      <c r="J21" s="41">
        <f t="shared" si="1"/>
        <v>2322.4358579999998</v>
      </c>
      <c r="K21" s="41">
        <f t="shared" si="15"/>
        <v>2576.9079839999995</v>
      </c>
      <c r="L21" s="41">
        <f t="shared" si="16"/>
        <v>2396.9855280000002</v>
      </c>
      <c r="M21" s="41">
        <f t="shared" si="4"/>
        <v>2286.425268</v>
      </c>
    </row>
    <row r="22" spans="1:13">
      <c r="M22" s="41"/>
    </row>
    <row r="25" spans="1:13">
      <c r="A25" s="5" t="s">
        <v>332</v>
      </c>
    </row>
    <row r="26" spans="1:13">
      <c r="A26" s="1" t="s">
        <v>331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</row>
    <row r="27" spans="1:13">
      <c r="A27" s="72" t="s">
        <v>324</v>
      </c>
      <c r="B27" s="72"/>
      <c r="C27" s="72"/>
      <c r="D27" s="72"/>
      <c r="E27" s="72"/>
      <c r="F27" s="72"/>
      <c r="G27" s="72"/>
    </row>
    <row r="28" spans="1:13">
      <c r="A28" s="72" t="s">
        <v>434</v>
      </c>
      <c r="B28" s="72"/>
      <c r="C28" s="72"/>
      <c r="D28" s="72"/>
      <c r="E28" s="72"/>
      <c r="F28" s="72"/>
      <c r="G28" s="72"/>
    </row>
    <row r="29" spans="1:13">
      <c r="A29" s="73" t="s">
        <v>435</v>
      </c>
      <c r="B29" s="73"/>
      <c r="C29" s="73"/>
      <c r="D29" s="73"/>
      <c r="E29" s="73"/>
      <c r="F29" s="73"/>
      <c r="G29" s="73"/>
    </row>
    <row r="30" spans="1:13">
      <c r="A30" s="1" t="s">
        <v>325</v>
      </c>
      <c r="B30" s="1" t="s">
        <v>488</v>
      </c>
      <c r="C30" s="1"/>
      <c r="D30" s="1">
        <v>13.25</v>
      </c>
      <c r="E30" s="1">
        <v>33.33</v>
      </c>
      <c r="F30" s="1">
        <v>0</v>
      </c>
      <c r="G30" s="1">
        <v>6.42</v>
      </c>
      <c r="H30" s="16" t="s">
        <v>455</v>
      </c>
    </row>
    <row r="31" spans="1:13">
      <c r="A31" s="1" t="s">
        <v>326</v>
      </c>
      <c r="B31" s="1" t="s">
        <v>488</v>
      </c>
      <c r="C31" s="1"/>
      <c r="D31" s="1"/>
      <c r="E31" s="1"/>
      <c r="F31" s="1"/>
      <c r="G31" s="1">
        <v>3.9</v>
      </c>
      <c r="H31" s="27" t="s">
        <v>456</v>
      </c>
    </row>
    <row r="32" spans="1:13">
      <c r="A32" s="1" t="s">
        <v>327</v>
      </c>
      <c r="B32" s="1" t="s">
        <v>488</v>
      </c>
      <c r="C32" s="1">
        <v>1592.16</v>
      </c>
      <c r="D32" s="1">
        <v>1563.54</v>
      </c>
      <c r="E32" s="1">
        <v>1652.11</v>
      </c>
      <c r="F32" s="1">
        <v>1519.25</v>
      </c>
      <c r="G32" s="1">
        <v>1519.25</v>
      </c>
    </row>
    <row r="33" spans="1:8">
      <c r="A33" s="1" t="s">
        <v>328</v>
      </c>
      <c r="B33" s="1" t="s">
        <v>488</v>
      </c>
      <c r="C33" s="1">
        <v>5.63</v>
      </c>
      <c r="D33" s="1"/>
      <c r="E33" s="1">
        <v>4.1900000000000004</v>
      </c>
      <c r="F33" s="1"/>
      <c r="G33" s="1"/>
      <c r="H33" s="27" t="s">
        <v>456</v>
      </c>
    </row>
    <row r="34" spans="1:8">
      <c r="A34" s="1" t="s">
        <v>329</v>
      </c>
      <c r="B34" s="1" t="s">
        <v>488</v>
      </c>
      <c r="C34" s="1">
        <v>124.3</v>
      </c>
      <c r="D34" s="1">
        <v>110.11</v>
      </c>
      <c r="E34" s="1">
        <v>109.33</v>
      </c>
      <c r="F34" s="1">
        <v>110.5</v>
      </c>
      <c r="G34" s="1">
        <v>110.5</v>
      </c>
    </row>
    <row r="35" spans="1:8">
      <c r="A35" s="1" t="s">
        <v>330</v>
      </c>
      <c r="B35" s="1" t="s">
        <v>488</v>
      </c>
      <c r="C35" s="1">
        <v>35.92</v>
      </c>
      <c r="D35" s="1"/>
      <c r="E35" s="1"/>
      <c r="F35" s="1"/>
      <c r="G35" s="1"/>
      <c r="H35" s="27" t="s">
        <v>457</v>
      </c>
    </row>
    <row r="36" spans="1:8">
      <c r="A36" s="72" t="s">
        <v>349</v>
      </c>
      <c r="B36" s="72"/>
      <c r="C36" s="72"/>
      <c r="D36" s="72"/>
      <c r="E36" s="72"/>
      <c r="F36" s="72"/>
      <c r="G36" s="72"/>
    </row>
    <row r="39" spans="1:8">
      <c r="A39" s="5" t="s">
        <v>335</v>
      </c>
    </row>
    <row r="40" spans="1:8" ht="15">
      <c r="A40" s="1" t="s">
        <v>334</v>
      </c>
      <c r="B40" s="1" t="s">
        <v>481</v>
      </c>
      <c r="C40" s="1" t="s">
        <v>482</v>
      </c>
      <c r="D40" s="1" t="s">
        <v>483</v>
      </c>
      <c r="E40" s="1">
        <v>2008</v>
      </c>
      <c r="F40" s="1">
        <v>2009</v>
      </c>
      <c r="G40" s="1" t="s">
        <v>484</v>
      </c>
      <c r="H40" s="29"/>
    </row>
    <row r="41" spans="1:8">
      <c r="A41" s="28" t="s">
        <v>324</v>
      </c>
      <c r="B41" s="28"/>
      <c r="C41" s="28"/>
      <c r="D41" s="28"/>
      <c r="E41" s="28"/>
      <c r="F41" s="28"/>
      <c r="G41" s="28"/>
      <c r="H41" s="28"/>
    </row>
    <row r="42" spans="1:8">
      <c r="A42" s="28" t="s">
        <v>434</v>
      </c>
      <c r="B42" s="28"/>
      <c r="C42" s="28"/>
      <c r="D42" s="28"/>
      <c r="E42" s="28"/>
      <c r="F42" s="28"/>
      <c r="G42" s="28"/>
      <c r="H42" s="28"/>
    </row>
    <row r="43" spans="1:8">
      <c r="A43" s="27" t="s">
        <v>435</v>
      </c>
      <c r="B43" s="27"/>
      <c r="C43" s="27"/>
      <c r="D43" s="27"/>
      <c r="E43" s="27"/>
      <c r="F43" s="27"/>
      <c r="G43" s="27"/>
      <c r="H43" s="27"/>
    </row>
    <row r="44" spans="1:8">
      <c r="A44" s="1" t="s">
        <v>333</v>
      </c>
      <c r="B44" s="1" t="s">
        <v>488</v>
      </c>
      <c r="C44" s="1"/>
      <c r="D44" s="1">
        <v>51.19</v>
      </c>
      <c r="E44" s="1">
        <v>52.4</v>
      </c>
      <c r="F44" s="1">
        <v>34.130000000000003</v>
      </c>
      <c r="G44" s="1">
        <v>67.06</v>
      </c>
      <c r="H44" s="16" t="s">
        <v>455</v>
      </c>
    </row>
    <row r="45" spans="1:8">
      <c r="A45" s="1" t="s">
        <v>326</v>
      </c>
      <c r="B45" s="1" t="s">
        <v>488</v>
      </c>
      <c r="C45" s="1"/>
      <c r="D45" s="1"/>
      <c r="E45" s="1"/>
      <c r="F45" s="1"/>
      <c r="G45" s="1">
        <v>4.01</v>
      </c>
      <c r="H45" s="27" t="s">
        <v>456</v>
      </c>
    </row>
    <row r="46" spans="1:8">
      <c r="A46" s="28" t="s">
        <v>349</v>
      </c>
      <c r="B46" s="28"/>
      <c r="C46" s="28"/>
      <c r="D46" s="28"/>
      <c r="E46" s="28"/>
      <c r="F46" s="28"/>
      <c r="G46" s="28"/>
      <c r="H46" s="28"/>
    </row>
  </sheetData>
  <mergeCells count="4">
    <mergeCell ref="A27:G27"/>
    <mergeCell ref="A28:G28"/>
    <mergeCell ref="A29:G29"/>
    <mergeCell ref="A36:G36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C1" workbookViewId="0">
      <selection activeCell="J26" sqref="J26"/>
    </sheetView>
  </sheetViews>
  <sheetFormatPr baseColWidth="10" defaultRowHeight="13" x14ac:dyDescent="0"/>
  <cols>
    <col min="1" max="1" width="40.85546875" customWidth="1"/>
    <col min="8" max="8" width="10.7109375" style="16"/>
  </cols>
  <sheetData>
    <row r="1" spans="1:13">
      <c r="A1" s="26" t="s">
        <v>513</v>
      </c>
      <c r="I1" s="26" t="s">
        <v>462</v>
      </c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482</v>
      </c>
      <c r="J2" s="25" t="s">
        <v>483</v>
      </c>
      <c r="K2" s="25">
        <v>2008</v>
      </c>
      <c r="L2" s="25">
        <v>2009</v>
      </c>
      <c r="M2" s="25" t="s">
        <v>484</v>
      </c>
    </row>
    <row r="3" spans="1:13">
      <c r="A3" t="s">
        <v>531</v>
      </c>
      <c r="C3">
        <f>C28+C29+C30+C31+C32</f>
        <v>9.5</v>
      </c>
      <c r="D3">
        <f t="shared" ref="D3:G3" si="0">D28+D29+D30+D31+D32</f>
        <v>5.04</v>
      </c>
      <c r="E3">
        <f t="shared" si="0"/>
        <v>5.35</v>
      </c>
      <c r="F3">
        <f t="shared" si="0"/>
        <v>4.3100000000000005</v>
      </c>
      <c r="G3">
        <f t="shared" si="0"/>
        <v>5.45</v>
      </c>
      <c r="I3" s="46">
        <f>C3*0.632911</f>
        <v>6.0126545</v>
      </c>
      <c r="J3" s="47">
        <f>D3*1.003</f>
        <v>5.0551199999999996</v>
      </c>
      <c r="K3" s="47">
        <f>E3*0.816993</f>
        <v>4.3709125499999999</v>
      </c>
      <c r="L3" s="47">
        <f>F3*0.952272</f>
        <v>4.1042923200000008</v>
      </c>
      <c r="M3" s="47">
        <f>G3*1.003</f>
        <v>5.4663499999999994</v>
      </c>
    </row>
    <row r="4" spans="1:13">
      <c r="A4" t="s">
        <v>436</v>
      </c>
      <c r="C4">
        <f>C34+C35</f>
        <v>0</v>
      </c>
      <c r="D4">
        <f t="shared" ref="D4:G4" si="1">D34+D35</f>
        <v>3.24</v>
      </c>
      <c r="E4">
        <f t="shared" si="1"/>
        <v>2.42</v>
      </c>
      <c r="F4">
        <f t="shared" si="1"/>
        <v>3.03</v>
      </c>
      <c r="G4">
        <f t="shared" si="1"/>
        <v>4.2699999999999996</v>
      </c>
      <c r="I4" s="46">
        <f t="shared" ref="I4:I21" si="2">C4*0.632911</f>
        <v>0</v>
      </c>
      <c r="J4" s="47">
        <f t="shared" ref="J4:J21" si="3">D4*1.003</f>
        <v>3.2497199999999999</v>
      </c>
      <c r="K4" s="47">
        <f t="shared" ref="K4:K21" si="4">E4*0.816993</f>
        <v>1.9771230599999998</v>
      </c>
      <c r="L4" s="47">
        <f t="shared" ref="L4:L21" si="5">F4*0.952272</f>
        <v>2.8853841599999996</v>
      </c>
      <c r="M4" s="47">
        <f t="shared" ref="M4:M21" si="6">G4*1.003</f>
        <v>4.2828099999999987</v>
      </c>
    </row>
    <row r="5" spans="1:13">
      <c r="A5" t="s">
        <v>437</v>
      </c>
      <c r="I5" s="46">
        <f t="shared" si="2"/>
        <v>0</v>
      </c>
      <c r="J5" s="47">
        <f t="shared" si="3"/>
        <v>0</v>
      </c>
      <c r="K5" s="47">
        <f t="shared" si="4"/>
        <v>0</v>
      </c>
      <c r="L5" s="47">
        <f t="shared" si="5"/>
        <v>0</v>
      </c>
      <c r="M5" s="47">
        <f t="shared" si="6"/>
        <v>0</v>
      </c>
    </row>
    <row r="6" spans="1:13">
      <c r="A6" t="s">
        <v>438</v>
      </c>
      <c r="C6">
        <f>SUM(C3:C5)</f>
        <v>9.5</v>
      </c>
      <c r="D6">
        <f t="shared" ref="D6:G6" si="7">SUM(D3:D5)</f>
        <v>8.2800000000000011</v>
      </c>
      <c r="E6">
        <f t="shared" si="7"/>
        <v>7.77</v>
      </c>
      <c r="F6">
        <f t="shared" si="7"/>
        <v>7.34</v>
      </c>
      <c r="G6">
        <f t="shared" si="7"/>
        <v>9.7199999999999989</v>
      </c>
      <c r="I6" s="46">
        <f t="shared" si="2"/>
        <v>6.0126545</v>
      </c>
      <c r="J6" s="47">
        <f t="shared" si="3"/>
        <v>8.3048400000000004</v>
      </c>
      <c r="K6" s="47">
        <f t="shared" si="4"/>
        <v>6.3480356099999993</v>
      </c>
      <c r="L6" s="47">
        <f t="shared" si="5"/>
        <v>6.98967648</v>
      </c>
      <c r="M6" s="47">
        <f t="shared" si="6"/>
        <v>9.749159999999998</v>
      </c>
    </row>
    <row r="7" spans="1:13">
      <c r="I7" s="46"/>
      <c r="J7" s="47"/>
      <c r="K7" s="47"/>
      <c r="L7" s="47"/>
      <c r="M7" s="47"/>
    </row>
    <row r="8" spans="1:13">
      <c r="A8" t="s">
        <v>439</v>
      </c>
      <c r="C8">
        <f>C43+C44+C45+C46+C47+C48+C50+C51+C52+C53</f>
        <v>392.21999999999997</v>
      </c>
      <c r="D8">
        <f t="shared" ref="D8:G8" si="8">D43+D44+D45+D46+D47+D48+D50+D51+D52+D53</f>
        <v>650.29999999999995</v>
      </c>
      <c r="E8">
        <f t="shared" si="8"/>
        <v>771.17000000000007</v>
      </c>
      <c r="F8">
        <f t="shared" si="8"/>
        <v>1165.3800000000001</v>
      </c>
      <c r="G8">
        <f t="shared" si="8"/>
        <v>990.6</v>
      </c>
      <c r="I8" s="46">
        <f t="shared" si="2"/>
        <v>248.24035241999999</v>
      </c>
      <c r="J8" s="47">
        <f t="shared" si="3"/>
        <v>652.25089999999989</v>
      </c>
      <c r="K8" s="47">
        <f t="shared" si="4"/>
        <v>630.04049181000005</v>
      </c>
      <c r="L8" s="47">
        <f t="shared" si="5"/>
        <v>1109.7587433600002</v>
      </c>
      <c r="M8" s="47">
        <f t="shared" si="6"/>
        <v>993.57179999999994</v>
      </c>
    </row>
    <row r="9" spans="1:13">
      <c r="A9" t="s">
        <v>440</v>
      </c>
      <c r="C9">
        <f>C56+C57+C58+C59+C60</f>
        <v>174.70999999999998</v>
      </c>
      <c r="D9">
        <f t="shared" ref="D9:G9" si="9">D56+D57+D58+D59+D60</f>
        <v>188.56</v>
      </c>
      <c r="E9">
        <f t="shared" si="9"/>
        <v>180.17</v>
      </c>
      <c r="F9">
        <f t="shared" si="9"/>
        <v>351.21999999999997</v>
      </c>
      <c r="G9">
        <f t="shared" si="9"/>
        <v>354.28999999999996</v>
      </c>
      <c r="I9" s="46">
        <f t="shared" si="2"/>
        <v>110.57588080999999</v>
      </c>
      <c r="J9" s="47">
        <f t="shared" si="3"/>
        <v>189.12567999999999</v>
      </c>
      <c r="K9" s="47">
        <f t="shared" si="4"/>
        <v>147.19762881</v>
      </c>
      <c r="L9" s="47">
        <f t="shared" si="5"/>
        <v>334.45697183999999</v>
      </c>
      <c r="M9" s="47">
        <f t="shared" si="6"/>
        <v>355.35286999999994</v>
      </c>
    </row>
    <row r="10" spans="1:13">
      <c r="A10" t="s">
        <v>441</v>
      </c>
      <c r="C10">
        <f>C62+C63</f>
        <v>0.75</v>
      </c>
      <c r="D10">
        <f t="shared" ref="D10:G10" si="10">D62+D63</f>
        <v>3.02</v>
      </c>
      <c r="E10">
        <f t="shared" si="10"/>
        <v>2.65</v>
      </c>
      <c r="F10">
        <f t="shared" si="10"/>
        <v>11.11</v>
      </c>
      <c r="G10">
        <f t="shared" si="10"/>
        <v>11.11</v>
      </c>
      <c r="I10" s="46">
        <f t="shared" si="2"/>
        <v>0.47468325</v>
      </c>
      <c r="J10" s="47">
        <f t="shared" si="3"/>
        <v>3.0290599999999999</v>
      </c>
      <c r="K10" s="47">
        <f t="shared" si="4"/>
        <v>2.1650314499999999</v>
      </c>
      <c r="L10" s="47">
        <f t="shared" si="5"/>
        <v>10.57974192</v>
      </c>
      <c r="M10" s="47">
        <f t="shared" si="6"/>
        <v>11.143329999999999</v>
      </c>
    </row>
    <row r="11" spans="1:13">
      <c r="A11" t="s">
        <v>442</v>
      </c>
      <c r="C11">
        <f>SUM(C8:C10)</f>
        <v>567.67999999999995</v>
      </c>
      <c r="D11">
        <f t="shared" ref="D11:G11" si="11">SUM(D8:D10)</f>
        <v>841.87999999999988</v>
      </c>
      <c r="E11">
        <f t="shared" si="11"/>
        <v>953.99</v>
      </c>
      <c r="F11">
        <f t="shared" si="11"/>
        <v>1527.71</v>
      </c>
      <c r="G11">
        <f t="shared" si="11"/>
        <v>1355.9999999999998</v>
      </c>
      <c r="I11" s="46">
        <f t="shared" si="2"/>
        <v>359.29091647999996</v>
      </c>
      <c r="J11" s="47">
        <f t="shared" si="3"/>
        <v>844.40563999999983</v>
      </c>
      <c r="K11" s="47">
        <f t="shared" si="4"/>
        <v>779.40315207000003</v>
      </c>
      <c r="L11" s="47">
        <f t="shared" si="5"/>
        <v>1454.79545712</v>
      </c>
      <c r="M11" s="47">
        <f t="shared" si="6"/>
        <v>1360.0679999999995</v>
      </c>
    </row>
    <row r="12" spans="1:13">
      <c r="I12" s="46"/>
      <c r="J12" s="47"/>
      <c r="K12" s="47"/>
      <c r="L12" s="47"/>
      <c r="M12" s="47"/>
    </row>
    <row r="13" spans="1:13">
      <c r="A13" t="s">
        <v>443</v>
      </c>
      <c r="C13">
        <f>C70+C71+C72+C73+C74+C76+C77+C78+C79</f>
        <v>300.29000000000002</v>
      </c>
      <c r="D13">
        <f t="shared" ref="D13:G13" si="12">D70+D71+D72+D73+D74+D76+D77+D78+D79</f>
        <v>313.94</v>
      </c>
      <c r="E13">
        <f t="shared" si="12"/>
        <v>422.23</v>
      </c>
      <c r="F13">
        <f t="shared" si="12"/>
        <v>775.52</v>
      </c>
      <c r="G13">
        <f t="shared" si="12"/>
        <v>618.87999999999988</v>
      </c>
      <c r="I13" s="46">
        <f t="shared" si="2"/>
        <v>190.05684419000002</v>
      </c>
      <c r="J13" s="47">
        <f t="shared" si="3"/>
        <v>314.88181999999995</v>
      </c>
      <c r="K13" s="47">
        <f t="shared" si="4"/>
        <v>344.95895438999997</v>
      </c>
      <c r="L13" s="47">
        <f t="shared" si="5"/>
        <v>738.50598144000003</v>
      </c>
      <c r="M13" s="47">
        <f t="shared" si="6"/>
        <v>620.73663999999985</v>
      </c>
    </row>
    <row r="14" spans="1:13">
      <c r="A14" t="s">
        <v>444</v>
      </c>
      <c r="C14">
        <f>C82</f>
        <v>31.9</v>
      </c>
      <c r="D14">
        <f t="shared" ref="D14:G14" si="13">D82</f>
        <v>29.5</v>
      </c>
      <c r="E14">
        <f t="shared" si="13"/>
        <v>28.2</v>
      </c>
      <c r="F14">
        <f t="shared" si="13"/>
        <v>35.1</v>
      </c>
      <c r="G14">
        <f t="shared" si="13"/>
        <v>25.2</v>
      </c>
      <c r="I14" s="46">
        <f t="shared" si="2"/>
        <v>20.189860899999999</v>
      </c>
      <c r="J14" s="47">
        <f t="shared" si="3"/>
        <v>29.588499999999996</v>
      </c>
      <c r="K14" s="47">
        <f t="shared" si="4"/>
        <v>23.039202599999999</v>
      </c>
      <c r="L14" s="47">
        <f t="shared" si="5"/>
        <v>33.424747199999999</v>
      </c>
      <c r="M14" s="47">
        <f t="shared" si="6"/>
        <v>25.275599999999997</v>
      </c>
    </row>
    <row r="15" spans="1:13">
      <c r="A15" t="s">
        <v>445</v>
      </c>
      <c r="C15">
        <f>C84+C85</f>
        <v>0.86</v>
      </c>
      <c r="D15">
        <f t="shared" ref="D15:G15" si="14">D84+D85</f>
        <v>2.71</v>
      </c>
      <c r="E15">
        <f t="shared" si="14"/>
        <v>2.38</v>
      </c>
      <c r="F15">
        <f t="shared" si="14"/>
        <v>9.9600000000000009</v>
      </c>
      <c r="G15">
        <f t="shared" si="14"/>
        <v>9.9600000000000009</v>
      </c>
      <c r="I15" s="46">
        <f t="shared" si="2"/>
        <v>0.54430345999999996</v>
      </c>
      <c r="J15" s="47">
        <f t="shared" si="3"/>
        <v>2.7181299999999995</v>
      </c>
      <c r="K15" s="47">
        <f t="shared" si="4"/>
        <v>1.9444433399999999</v>
      </c>
      <c r="L15" s="47">
        <f t="shared" si="5"/>
        <v>9.484629120000001</v>
      </c>
      <c r="M15" s="47">
        <f t="shared" si="6"/>
        <v>9.9898799999999994</v>
      </c>
    </row>
    <row r="16" spans="1:13">
      <c r="A16" t="s">
        <v>446</v>
      </c>
      <c r="C16">
        <f>SUM(C13:C15)</f>
        <v>333.05</v>
      </c>
      <c r="D16">
        <f t="shared" ref="D16:G16" si="15">SUM(D13:D15)</f>
        <v>346.15</v>
      </c>
      <c r="E16">
        <f t="shared" si="15"/>
        <v>452.81</v>
      </c>
      <c r="F16">
        <f t="shared" si="15"/>
        <v>820.58</v>
      </c>
      <c r="G16">
        <f t="shared" si="15"/>
        <v>654.04</v>
      </c>
      <c r="I16" s="46">
        <f t="shared" si="2"/>
        <v>210.79100855000002</v>
      </c>
      <c r="J16" s="47">
        <f t="shared" si="3"/>
        <v>347.18844999999993</v>
      </c>
      <c r="K16" s="47">
        <f t="shared" si="4"/>
        <v>369.94260033</v>
      </c>
      <c r="L16" s="47">
        <f t="shared" si="5"/>
        <v>781.41535776000001</v>
      </c>
      <c r="M16" s="47">
        <f t="shared" si="6"/>
        <v>656.00211999999988</v>
      </c>
    </row>
    <row r="17" spans="1:13">
      <c r="I17" s="46"/>
      <c r="J17" s="47"/>
      <c r="K17" s="47"/>
      <c r="L17" s="47"/>
      <c r="M17" s="47"/>
    </row>
    <row r="18" spans="1:13">
      <c r="A18" t="s">
        <v>447</v>
      </c>
      <c r="C18" s="8">
        <f>C3+C8+C13</f>
        <v>702.01</v>
      </c>
      <c r="D18" s="8">
        <f>D3+D8+D13</f>
        <v>969.28</v>
      </c>
      <c r="E18" s="8">
        <f t="shared" ref="D18:G20" si="16">E3+E8+E13</f>
        <v>1198.75</v>
      </c>
      <c r="F18" s="8">
        <f t="shared" si="16"/>
        <v>1945.21</v>
      </c>
      <c r="G18" s="8">
        <f>G3+G8+G13</f>
        <v>1614.9299999999998</v>
      </c>
      <c r="I18" s="46">
        <f t="shared" si="2"/>
        <v>444.30985111000001</v>
      </c>
      <c r="J18" s="47">
        <f t="shared" si="3"/>
        <v>972.18783999999982</v>
      </c>
      <c r="K18" s="47">
        <f t="shared" si="4"/>
        <v>979.37035874999992</v>
      </c>
      <c r="L18" s="47">
        <f t="shared" si="5"/>
        <v>1852.3690171200001</v>
      </c>
      <c r="M18" s="47">
        <f t="shared" si="6"/>
        <v>1619.7747899999997</v>
      </c>
    </row>
    <row r="19" spans="1:13">
      <c r="A19" t="s">
        <v>448</v>
      </c>
      <c r="C19" s="8">
        <f>C4+C9+C14</f>
        <v>206.60999999999999</v>
      </c>
      <c r="D19" s="8">
        <f>D4+D9+D14</f>
        <v>221.3</v>
      </c>
      <c r="E19" s="8">
        <f t="shared" si="16"/>
        <v>210.78999999999996</v>
      </c>
      <c r="F19" s="8">
        <f t="shared" si="16"/>
        <v>389.34999999999997</v>
      </c>
      <c r="G19" s="8">
        <f>G4+G9+G14</f>
        <v>383.75999999999993</v>
      </c>
      <c r="I19" s="46">
        <f t="shared" si="2"/>
        <v>130.76574170999999</v>
      </c>
      <c r="J19" s="47">
        <f t="shared" si="3"/>
        <v>221.9639</v>
      </c>
      <c r="K19" s="47">
        <f t="shared" si="4"/>
        <v>172.21395446999998</v>
      </c>
      <c r="L19" s="47">
        <f t="shared" si="5"/>
        <v>370.76710319999995</v>
      </c>
      <c r="M19" s="47">
        <f t="shared" si="6"/>
        <v>384.91127999999992</v>
      </c>
    </row>
    <row r="20" spans="1:13">
      <c r="A20" t="s">
        <v>449</v>
      </c>
      <c r="C20" s="8">
        <f>C5+C10+C15</f>
        <v>1.6099999999999999</v>
      </c>
      <c r="D20" s="8">
        <f t="shared" si="16"/>
        <v>5.73</v>
      </c>
      <c r="E20" s="8">
        <f t="shared" si="16"/>
        <v>5.0299999999999994</v>
      </c>
      <c r="F20" s="8">
        <f t="shared" si="16"/>
        <v>21.07</v>
      </c>
      <c r="G20" s="8">
        <f t="shared" si="16"/>
        <v>21.07</v>
      </c>
      <c r="I20" s="46">
        <f t="shared" si="2"/>
        <v>1.0189867099999999</v>
      </c>
      <c r="J20" s="47">
        <f t="shared" si="3"/>
        <v>5.7471899999999998</v>
      </c>
      <c r="K20" s="47">
        <f t="shared" si="4"/>
        <v>4.1094747899999993</v>
      </c>
      <c r="L20" s="47">
        <f t="shared" si="5"/>
        <v>20.064371040000001</v>
      </c>
      <c r="M20" s="47">
        <f t="shared" si="6"/>
        <v>21.133209999999998</v>
      </c>
    </row>
    <row r="21" spans="1:13">
      <c r="A21" t="s">
        <v>525</v>
      </c>
      <c r="C21" s="8">
        <f>SUM(C18:C20)</f>
        <v>910.23</v>
      </c>
      <c r="D21" s="8">
        <f t="shared" ref="D21:F21" si="17">SUM(D18:D20)</f>
        <v>1196.31</v>
      </c>
      <c r="E21" s="8">
        <f t="shared" si="17"/>
        <v>1414.57</v>
      </c>
      <c r="F21" s="8">
        <f t="shared" si="17"/>
        <v>2355.63</v>
      </c>
      <c r="G21" s="8">
        <f>SUM(G18:G20)</f>
        <v>2019.7599999999998</v>
      </c>
      <c r="I21" s="46">
        <f t="shared" si="2"/>
        <v>576.09457953000003</v>
      </c>
      <c r="J21" s="47">
        <f t="shared" si="3"/>
        <v>1199.8989299999998</v>
      </c>
      <c r="K21" s="47">
        <f t="shared" si="4"/>
        <v>1155.6937880099999</v>
      </c>
      <c r="L21" s="47">
        <f t="shared" si="5"/>
        <v>2243.2004913600003</v>
      </c>
      <c r="M21" s="47">
        <f t="shared" si="6"/>
        <v>2025.8192799999995</v>
      </c>
    </row>
    <row r="25" spans="1:13" s="5" customFormat="1">
      <c r="A25" s="5" t="s">
        <v>286</v>
      </c>
      <c r="H25" s="33"/>
    </row>
    <row r="26" spans="1:13" ht="15">
      <c r="A26" s="1" t="s">
        <v>342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485</v>
      </c>
      <c r="B27" s="28"/>
      <c r="C27" s="28"/>
      <c r="D27" s="28"/>
      <c r="E27" s="28"/>
      <c r="F27" s="28"/>
      <c r="G27" s="28"/>
      <c r="H27" s="28"/>
    </row>
    <row r="28" spans="1:13">
      <c r="A28" s="27" t="s">
        <v>336</v>
      </c>
      <c r="B28" s="27"/>
      <c r="C28" s="27"/>
      <c r="D28" s="27"/>
      <c r="E28" s="27"/>
      <c r="F28" s="27"/>
      <c r="G28" s="27"/>
      <c r="H28" s="27"/>
    </row>
    <row r="29" spans="1:13" ht="15">
      <c r="A29" s="1" t="s">
        <v>337</v>
      </c>
      <c r="B29" s="1" t="s">
        <v>488</v>
      </c>
      <c r="C29" s="1">
        <v>6.53</v>
      </c>
      <c r="D29" s="1"/>
      <c r="E29" s="1"/>
      <c r="F29" s="1"/>
      <c r="G29" s="1"/>
      <c r="H29" s="29" t="s">
        <v>500</v>
      </c>
    </row>
    <row r="30" spans="1:13">
      <c r="A30" s="27" t="s">
        <v>431</v>
      </c>
      <c r="B30" s="27"/>
      <c r="C30" s="27"/>
      <c r="D30" s="27"/>
      <c r="E30" s="27"/>
      <c r="F30" s="27"/>
      <c r="G30" s="27"/>
      <c r="H30" s="27"/>
    </row>
    <row r="31" spans="1:13" ht="15">
      <c r="A31" s="1" t="s">
        <v>338</v>
      </c>
      <c r="B31" s="1" t="s">
        <v>488</v>
      </c>
      <c r="C31" s="1">
        <v>0.66</v>
      </c>
      <c r="D31" s="1">
        <v>0.11</v>
      </c>
      <c r="E31" s="1">
        <v>0.1</v>
      </c>
      <c r="F31" s="1">
        <v>0.11</v>
      </c>
      <c r="G31" s="1">
        <v>0.11</v>
      </c>
      <c r="H31" s="29"/>
    </row>
    <row r="32" spans="1:13" ht="15">
      <c r="A32" s="1" t="s">
        <v>339</v>
      </c>
      <c r="B32" s="1" t="s">
        <v>488</v>
      </c>
      <c r="C32" s="1">
        <v>2.31</v>
      </c>
      <c r="D32" s="1">
        <v>4.93</v>
      </c>
      <c r="E32" s="1">
        <v>5.25</v>
      </c>
      <c r="F32" s="1">
        <v>4.2</v>
      </c>
      <c r="G32" s="1">
        <v>5.34</v>
      </c>
      <c r="H32" s="29"/>
    </row>
    <row r="33" spans="1:8">
      <c r="A33" s="28" t="s">
        <v>434</v>
      </c>
      <c r="B33" s="28"/>
      <c r="C33" s="28"/>
      <c r="D33" s="28"/>
      <c r="E33" s="28"/>
      <c r="F33" s="28"/>
      <c r="G33" s="28"/>
      <c r="H33" s="28"/>
    </row>
    <row r="34" spans="1:8">
      <c r="A34" s="27" t="s">
        <v>435</v>
      </c>
      <c r="B34" s="27"/>
      <c r="C34" s="27"/>
      <c r="D34" s="27"/>
      <c r="E34" s="27"/>
      <c r="F34" s="27"/>
      <c r="G34" s="27"/>
      <c r="H34" s="27"/>
    </row>
    <row r="35" spans="1:8" ht="15">
      <c r="A35" s="1" t="s">
        <v>340</v>
      </c>
      <c r="B35" s="1" t="s">
        <v>341</v>
      </c>
      <c r="C35" s="1"/>
      <c r="D35" s="1">
        <v>3.24</v>
      </c>
      <c r="E35" s="1">
        <v>2.42</v>
      </c>
      <c r="F35" s="1">
        <v>3.03</v>
      </c>
      <c r="G35" s="1">
        <v>4.2699999999999996</v>
      </c>
      <c r="H35" s="29" t="s">
        <v>496</v>
      </c>
    </row>
    <row r="36" spans="1:8">
      <c r="A36" s="28" t="s">
        <v>349</v>
      </c>
      <c r="B36" s="28"/>
      <c r="C36" s="28"/>
      <c r="D36" s="28"/>
      <c r="E36" s="28"/>
      <c r="F36" s="28"/>
      <c r="G36" s="28"/>
      <c r="H36" s="28"/>
    </row>
    <row r="39" spans="1:8">
      <c r="A39" s="5" t="s">
        <v>306</v>
      </c>
    </row>
    <row r="40" spans="1:8" ht="15">
      <c r="A40" s="1" t="s">
        <v>342</v>
      </c>
      <c r="B40" s="1" t="s">
        <v>481</v>
      </c>
      <c r="C40" s="1" t="s">
        <v>482</v>
      </c>
      <c r="D40" s="1" t="s">
        <v>483</v>
      </c>
      <c r="E40" s="1">
        <v>2008</v>
      </c>
      <c r="F40" s="1">
        <v>2009</v>
      </c>
      <c r="G40" s="1" t="s">
        <v>484</v>
      </c>
      <c r="H40" s="29"/>
    </row>
    <row r="41" spans="1:8">
      <c r="A41" s="28" t="s">
        <v>485</v>
      </c>
      <c r="B41" s="28"/>
      <c r="C41" s="28"/>
      <c r="D41" s="28"/>
      <c r="E41" s="28"/>
      <c r="F41" s="28"/>
      <c r="G41" s="28"/>
      <c r="H41" s="28"/>
    </row>
    <row r="42" spans="1:8">
      <c r="A42" s="27" t="s">
        <v>336</v>
      </c>
      <c r="B42" s="27"/>
      <c r="C42" s="27"/>
      <c r="D42" s="27"/>
      <c r="E42" s="27"/>
      <c r="F42" s="27"/>
      <c r="G42" s="27"/>
      <c r="H42" s="27"/>
    </row>
    <row r="43" spans="1:8" ht="15">
      <c r="A43" s="1" t="s">
        <v>337</v>
      </c>
      <c r="B43" s="1" t="s">
        <v>488</v>
      </c>
      <c r="C43" s="1">
        <v>135.16</v>
      </c>
      <c r="D43" s="1"/>
      <c r="E43" s="1"/>
      <c r="F43" s="1"/>
      <c r="G43" s="1"/>
      <c r="H43" s="29" t="s">
        <v>500</v>
      </c>
    </row>
    <row r="44" spans="1:8" ht="15">
      <c r="A44" s="1" t="s">
        <v>287</v>
      </c>
      <c r="B44" s="1" t="s">
        <v>488</v>
      </c>
      <c r="C44" s="1">
        <v>130.85</v>
      </c>
      <c r="D44" s="1"/>
      <c r="E44" s="1"/>
      <c r="F44" s="1"/>
      <c r="G44" s="1"/>
      <c r="H44" s="29" t="s">
        <v>500</v>
      </c>
    </row>
    <row r="45" spans="1:8" ht="15">
      <c r="A45" s="1" t="s">
        <v>288</v>
      </c>
      <c r="B45" s="1" t="s">
        <v>289</v>
      </c>
      <c r="C45" s="1"/>
      <c r="D45" s="1"/>
      <c r="E45" s="1"/>
      <c r="F45" s="1">
        <v>590.16999999999996</v>
      </c>
      <c r="G45" s="1">
        <v>386.04</v>
      </c>
      <c r="H45" s="29" t="s">
        <v>500</v>
      </c>
    </row>
    <row r="46" spans="1:8" ht="15">
      <c r="A46" s="1" t="s">
        <v>290</v>
      </c>
      <c r="B46" s="1" t="s">
        <v>289</v>
      </c>
      <c r="C46" s="1">
        <v>51.99</v>
      </c>
      <c r="D46" s="1"/>
      <c r="E46" s="1"/>
      <c r="F46" s="1"/>
      <c r="G46" s="1"/>
      <c r="H46" s="29" t="s">
        <v>500</v>
      </c>
    </row>
    <row r="47" spans="1:8" ht="15">
      <c r="A47" s="1" t="s">
        <v>291</v>
      </c>
      <c r="B47" s="1" t="s">
        <v>289</v>
      </c>
      <c r="C47" s="1"/>
      <c r="D47" s="1">
        <v>239.65</v>
      </c>
      <c r="E47" s="1">
        <v>353.91</v>
      </c>
      <c r="F47" s="1">
        <v>182.52</v>
      </c>
      <c r="G47" s="1">
        <v>182.52</v>
      </c>
      <c r="H47" s="29" t="s">
        <v>497</v>
      </c>
    </row>
    <row r="48" spans="1:8" ht="15">
      <c r="A48" s="1" t="s">
        <v>292</v>
      </c>
      <c r="B48" s="1" t="s">
        <v>293</v>
      </c>
      <c r="C48" s="1"/>
      <c r="D48" s="1"/>
      <c r="E48" s="1"/>
      <c r="F48" s="1"/>
      <c r="G48" s="1"/>
      <c r="H48" s="29" t="s">
        <v>453</v>
      </c>
    </row>
    <row r="49" spans="1:8">
      <c r="A49" s="27" t="s">
        <v>431</v>
      </c>
      <c r="B49" s="27"/>
      <c r="C49" s="27"/>
      <c r="D49" s="27"/>
      <c r="E49" s="27"/>
      <c r="F49" s="27"/>
      <c r="G49" s="27"/>
      <c r="H49" s="27"/>
    </row>
    <row r="50" spans="1:8" ht="15">
      <c r="A50" s="1" t="s">
        <v>338</v>
      </c>
      <c r="B50" s="1" t="s">
        <v>488</v>
      </c>
      <c r="C50" s="1">
        <v>13.76</v>
      </c>
      <c r="D50" s="1">
        <v>2.52</v>
      </c>
      <c r="E50" s="1">
        <v>2.23</v>
      </c>
      <c r="F50" s="1">
        <v>2.67</v>
      </c>
      <c r="G50" s="1">
        <v>2.67</v>
      </c>
      <c r="H50" s="29"/>
    </row>
    <row r="51" spans="1:8" ht="15">
      <c r="A51" s="1" t="s">
        <v>339</v>
      </c>
      <c r="B51" s="1" t="s">
        <v>488</v>
      </c>
      <c r="C51" s="1">
        <v>46.81</v>
      </c>
      <c r="D51" s="1">
        <v>114.99</v>
      </c>
      <c r="E51" s="1">
        <v>122.41</v>
      </c>
      <c r="F51" s="1">
        <v>97.93</v>
      </c>
      <c r="G51" s="1">
        <v>124.64</v>
      </c>
      <c r="H51" s="29"/>
    </row>
    <row r="52" spans="1:8" ht="15">
      <c r="A52" s="1" t="s">
        <v>294</v>
      </c>
      <c r="B52" s="1" t="s">
        <v>488</v>
      </c>
      <c r="C52" s="1">
        <v>13.65</v>
      </c>
      <c r="D52" s="1">
        <v>-6.86</v>
      </c>
      <c r="E52" s="1">
        <v>-7.38</v>
      </c>
      <c r="F52" s="1">
        <v>-7.91</v>
      </c>
      <c r="G52" s="1">
        <v>-5.27</v>
      </c>
      <c r="H52" s="29"/>
    </row>
    <row r="53" spans="1:8" ht="15">
      <c r="A53" s="1" t="s">
        <v>295</v>
      </c>
      <c r="B53" s="1" t="s">
        <v>488</v>
      </c>
      <c r="C53" s="1"/>
      <c r="D53" s="1">
        <v>300</v>
      </c>
      <c r="E53" s="1">
        <v>300</v>
      </c>
      <c r="F53" s="1">
        <v>300</v>
      </c>
      <c r="G53" s="1">
        <v>300</v>
      </c>
      <c r="H53" s="29" t="s">
        <v>497</v>
      </c>
    </row>
    <row r="54" spans="1:8">
      <c r="A54" s="28" t="s">
        <v>434</v>
      </c>
      <c r="B54" s="28"/>
      <c r="C54" s="28"/>
      <c r="D54" s="28"/>
      <c r="E54" s="28"/>
      <c r="F54" s="28"/>
      <c r="G54" s="28"/>
      <c r="H54" s="28"/>
    </row>
    <row r="55" spans="1:8">
      <c r="A55" s="27" t="s">
        <v>435</v>
      </c>
      <c r="B55" s="27"/>
      <c r="C55" s="27"/>
      <c r="D55" s="27"/>
      <c r="E55" s="27"/>
      <c r="F55" s="27"/>
      <c r="G55" s="27"/>
      <c r="H55" s="27"/>
    </row>
    <row r="56" spans="1:8" ht="15">
      <c r="A56" s="1" t="s">
        <v>296</v>
      </c>
      <c r="B56" s="1" t="s">
        <v>289</v>
      </c>
      <c r="C56" s="1">
        <v>31.14</v>
      </c>
      <c r="D56" s="1">
        <v>31.69</v>
      </c>
      <c r="E56" s="1">
        <v>29.39</v>
      </c>
      <c r="F56" s="1">
        <v>33.17</v>
      </c>
      <c r="G56" s="1">
        <v>32.5</v>
      </c>
      <c r="H56" s="29"/>
    </row>
    <row r="57" spans="1:8" ht="15">
      <c r="A57" s="1" t="s">
        <v>297</v>
      </c>
      <c r="B57" s="1" t="s">
        <v>293</v>
      </c>
      <c r="C57" s="1"/>
      <c r="D57" s="1"/>
      <c r="E57" s="1"/>
      <c r="F57" s="1"/>
      <c r="G57" s="1"/>
      <c r="H57" s="29" t="s">
        <v>500</v>
      </c>
    </row>
    <row r="58" spans="1:8" ht="15">
      <c r="A58" s="1" t="s">
        <v>298</v>
      </c>
      <c r="B58" s="1" t="s">
        <v>289</v>
      </c>
      <c r="C58" s="1"/>
      <c r="D58" s="1"/>
      <c r="E58" s="1"/>
      <c r="F58" s="1">
        <v>160</v>
      </c>
      <c r="G58" s="1">
        <v>160</v>
      </c>
      <c r="H58" s="29" t="s">
        <v>454</v>
      </c>
    </row>
    <row r="59" spans="1:8" ht="15">
      <c r="A59" s="1" t="s">
        <v>303</v>
      </c>
      <c r="B59" s="1" t="s">
        <v>293</v>
      </c>
      <c r="C59" s="1">
        <v>143.57</v>
      </c>
      <c r="D59" s="1">
        <v>129.1</v>
      </c>
      <c r="E59" s="1">
        <v>130</v>
      </c>
      <c r="F59" s="1">
        <v>132.1</v>
      </c>
      <c r="G59" s="1">
        <v>125.2</v>
      </c>
      <c r="H59" s="29"/>
    </row>
    <row r="60" spans="1:8" ht="15">
      <c r="A60" s="1" t="s">
        <v>340</v>
      </c>
      <c r="B60" s="1" t="s">
        <v>341</v>
      </c>
      <c r="C60" s="1"/>
      <c r="D60" s="1">
        <v>27.77</v>
      </c>
      <c r="E60" s="1">
        <v>20.78</v>
      </c>
      <c r="F60" s="1">
        <v>25.95</v>
      </c>
      <c r="G60" s="1">
        <v>36.590000000000003</v>
      </c>
      <c r="H60" s="29" t="s">
        <v>496</v>
      </c>
    </row>
    <row r="61" spans="1:8">
      <c r="A61" s="28" t="s">
        <v>347</v>
      </c>
      <c r="B61" s="28"/>
      <c r="C61" s="28"/>
      <c r="D61" s="28"/>
      <c r="E61" s="28"/>
      <c r="F61" s="28"/>
      <c r="G61" s="28"/>
      <c r="H61" s="28"/>
    </row>
    <row r="62" spans="1:8" ht="15">
      <c r="A62" s="1" t="s">
        <v>304</v>
      </c>
      <c r="B62" s="1" t="s">
        <v>289</v>
      </c>
      <c r="C62" s="1"/>
      <c r="D62" s="1"/>
      <c r="E62" s="1"/>
      <c r="F62" s="1">
        <v>7.91</v>
      </c>
      <c r="G62" s="1">
        <v>7.91</v>
      </c>
      <c r="H62" s="29" t="s">
        <v>500</v>
      </c>
    </row>
    <row r="63" spans="1:8" ht="15">
      <c r="A63" s="1" t="s">
        <v>305</v>
      </c>
      <c r="B63" s="1" t="s">
        <v>293</v>
      </c>
      <c r="C63" s="1">
        <v>0.75</v>
      </c>
      <c r="D63" s="1">
        <v>3.02</v>
      </c>
      <c r="E63" s="1">
        <v>2.65</v>
      </c>
      <c r="F63" s="1">
        <v>3.2</v>
      </c>
      <c r="G63" s="1">
        <v>3.2</v>
      </c>
      <c r="H63" s="29"/>
    </row>
    <row r="66" spans="1:8">
      <c r="A66" s="5" t="s">
        <v>308</v>
      </c>
    </row>
    <row r="67" spans="1:8" ht="15">
      <c r="A67" s="1" t="s">
        <v>331</v>
      </c>
      <c r="B67" s="1" t="s">
        <v>481</v>
      </c>
      <c r="C67" s="1" t="s">
        <v>482</v>
      </c>
      <c r="D67" s="1" t="s">
        <v>483</v>
      </c>
      <c r="E67" s="1">
        <v>2008</v>
      </c>
      <c r="F67" s="1">
        <v>2009</v>
      </c>
      <c r="G67" s="1" t="s">
        <v>484</v>
      </c>
      <c r="H67" s="29"/>
    </row>
    <row r="68" spans="1:8">
      <c r="A68" s="28" t="s">
        <v>485</v>
      </c>
      <c r="B68" s="28"/>
      <c r="C68" s="28"/>
      <c r="D68" s="28"/>
      <c r="E68" s="28"/>
      <c r="F68" s="28"/>
      <c r="G68" s="28"/>
      <c r="H68" s="28"/>
    </row>
    <row r="69" spans="1:8">
      <c r="A69" s="27" t="s">
        <v>336</v>
      </c>
      <c r="B69" s="27"/>
      <c r="C69" s="27"/>
      <c r="D69" s="27"/>
      <c r="E69" s="27"/>
      <c r="F69" s="27"/>
      <c r="G69" s="27"/>
      <c r="H69" s="27"/>
    </row>
    <row r="70" spans="1:8" ht="15">
      <c r="A70" s="1" t="s">
        <v>337</v>
      </c>
      <c r="B70" s="1" t="s">
        <v>488</v>
      </c>
      <c r="C70" s="1">
        <v>155.16</v>
      </c>
      <c r="D70" s="1"/>
      <c r="E70" s="1"/>
      <c r="F70" s="1"/>
      <c r="G70" s="1"/>
      <c r="H70" s="29" t="s">
        <v>500</v>
      </c>
    </row>
    <row r="71" spans="1:8" ht="15">
      <c r="A71" s="1" t="s">
        <v>288</v>
      </c>
      <c r="B71" s="1" t="s">
        <v>289</v>
      </c>
      <c r="C71" s="1"/>
      <c r="D71" s="1"/>
      <c r="E71" s="1"/>
      <c r="F71" s="1">
        <v>528.89</v>
      </c>
      <c r="G71" s="1">
        <v>345.96</v>
      </c>
      <c r="H71" s="29" t="s">
        <v>500</v>
      </c>
    </row>
    <row r="72" spans="1:8" ht="15">
      <c r="A72" s="1" t="s">
        <v>290</v>
      </c>
      <c r="B72" s="1" t="s">
        <v>289</v>
      </c>
      <c r="C72" s="1">
        <v>59.87</v>
      </c>
      <c r="D72" s="1"/>
      <c r="E72" s="1"/>
      <c r="F72" s="1"/>
      <c r="G72" s="1"/>
      <c r="H72" s="29" t="s">
        <v>500</v>
      </c>
    </row>
    <row r="73" spans="1:8" ht="15">
      <c r="A73" s="1" t="s">
        <v>291</v>
      </c>
      <c r="B73" s="1" t="s">
        <v>289</v>
      </c>
      <c r="C73" s="1"/>
      <c r="D73" s="1">
        <v>214.77</v>
      </c>
      <c r="E73" s="1">
        <v>317.16000000000003</v>
      </c>
      <c r="F73" s="1">
        <v>163.57</v>
      </c>
      <c r="G73" s="1">
        <v>163.57</v>
      </c>
      <c r="H73" s="29" t="s">
        <v>497</v>
      </c>
    </row>
    <row r="74" spans="1:8" ht="15">
      <c r="A74" s="1" t="s">
        <v>292</v>
      </c>
      <c r="B74" s="1" t="s">
        <v>293</v>
      </c>
      <c r="C74" s="1"/>
      <c r="D74" s="1"/>
      <c r="E74" s="1"/>
      <c r="F74" s="1"/>
      <c r="G74" s="1"/>
      <c r="H74" s="29" t="s">
        <v>453</v>
      </c>
    </row>
    <row r="75" spans="1:8">
      <c r="A75" s="27" t="s">
        <v>431</v>
      </c>
      <c r="B75" s="27"/>
      <c r="C75" s="27"/>
      <c r="D75" s="27"/>
      <c r="E75" s="27"/>
      <c r="F75" s="27"/>
      <c r="G75" s="27"/>
      <c r="H75" s="27"/>
    </row>
    <row r="76" spans="1:8" ht="15">
      <c r="A76" s="1" t="s">
        <v>307</v>
      </c>
      <c r="B76" s="1" t="s">
        <v>293</v>
      </c>
      <c r="C76" s="1"/>
      <c r="D76" s="1"/>
      <c r="E76" s="1"/>
      <c r="F76" s="1"/>
      <c r="G76" s="1"/>
      <c r="H76" s="29" t="s">
        <v>500</v>
      </c>
    </row>
    <row r="77" spans="1:8" ht="15">
      <c r="A77" s="1" t="s">
        <v>338</v>
      </c>
      <c r="B77" s="1" t="s">
        <v>488</v>
      </c>
      <c r="C77" s="1">
        <v>15.88</v>
      </c>
      <c r="D77" s="1">
        <v>2.2599999999999998</v>
      </c>
      <c r="E77" s="1">
        <v>1.99</v>
      </c>
      <c r="F77" s="1">
        <v>2.39</v>
      </c>
      <c r="G77" s="1">
        <v>2.39</v>
      </c>
      <c r="H77" s="29"/>
    </row>
    <row r="78" spans="1:8" ht="15">
      <c r="A78" s="1" t="s">
        <v>339</v>
      </c>
      <c r="B78" s="1" t="s">
        <v>488</v>
      </c>
      <c r="C78" s="1">
        <v>53.7</v>
      </c>
      <c r="D78" s="1">
        <v>103.05</v>
      </c>
      <c r="E78" s="1">
        <v>109.7</v>
      </c>
      <c r="F78" s="1">
        <v>87.76</v>
      </c>
      <c r="G78" s="1">
        <v>111.69</v>
      </c>
      <c r="H78" s="29"/>
    </row>
    <row r="79" spans="1:8" ht="15">
      <c r="A79" s="1" t="s">
        <v>294</v>
      </c>
      <c r="B79" s="1" t="s">
        <v>488</v>
      </c>
      <c r="C79" s="1">
        <v>15.68</v>
      </c>
      <c r="D79" s="1">
        <v>-6.14</v>
      </c>
      <c r="E79" s="1">
        <v>-6.62</v>
      </c>
      <c r="F79" s="1">
        <v>-7.09</v>
      </c>
      <c r="G79" s="1">
        <v>-4.7300000000000004</v>
      </c>
      <c r="H79" s="29"/>
    </row>
    <row r="80" spans="1:8">
      <c r="A80" s="28" t="s">
        <v>434</v>
      </c>
      <c r="B80" s="28"/>
      <c r="C80" s="28"/>
      <c r="D80" s="28"/>
      <c r="E80" s="28"/>
      <c r="F80" s="28"/>
      <c r="G80" s="28"/>
      <c r="H80" s="28"/>
    </row>
    <row r="81" spans="1:8">
      <c r="A81" s="27" t="s">
        <v>435</v>
      </c>
      <c r="B81" s="27"/>
      <c r="C81" s="27"/>
      <c r="D81" s="27"/>
      <c r="E81" s="27"/>
      <c r="F81" s="27"/>
      <c r="G81" s="27"/>
      <c r="H81" s="27"/>
    </row>
    <row r="82" spans="1:8" ht="15">
      <c r="A82" s="1" t="s">
        <v>428</v>
      </c>
      <c r="B82" s="1" t="s">
        <v>293</v>
      </c>
      <c r="C82" s="1">
        <v>31.9</v>
      </c>
      <c r="D82" s="1">
        <v>29.5</v>
      </c>
      <c r="E82" s="1">
        <v>28.2</v>
      </c>
      <c r="F82" s="1">
        <v>35.1</v>
      </c>
      <c r="G82" s="1">
        <v>25.2</v>
      </c>
      <c r="H82" s="29"/>
    </row>
    <row r="83" spans="1:8">
      <c r="A83" s="28" t="s">
        <v>347</v>
      </c>
      <c r="B83" s="28"/>
      <c r="C83" s="28"/>
      <c r="D83" s="28"/>
      <c r="E83" s="28"/>
      <c r="F83" s="28"/>
      <c r="G83" s="28"/>
      <c r="H83" s="28"/>
    </row>
    <row r="84" spans="1:8" ht="15">
      <c r="A84" s="1" t="s">
        <v>304</v>
      </c>
      <c r="B84" s="1" t="s">
        <v>289</v>
      </c>
      <c r="C84" s="1"/>
      <c r="D84" s="1"/>
      <c r="E84" s="1"/>
      <c r="F84" s="1">
        <v>7.09</v>
      </c>
      <c r="G84" s="1">
        <v>7.09</v>
      </c>
      <c r="H84" s="29" t="s">
        <v>500</v>
      </c>
    </row>
    <row r="85" spans="1:8" ht="15">
      <c r="A85" s="1" t="s">
        <v>305</v>
      </c>
      <c r="B85" s="1" t="s">
        <v>293</v>
      </c>
      <c r="C85" s="1">
        <v>0.86</v>
      </c>
      <c r="D85" s="1">
        <v>2.71</v>
      </c>
      <c r="E85" s="1">
        <v>2.38</v>
      </c>
      <c r="F85" s="1">
        <v>2.87</v>
      </c>
      <c r="G85" s="1">
        <v>2.87</v>
      </c>
      <c r="H85" s="29"/>
    </row>
  </sheetData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>
    <row r="1" spans="1:1">
      <c r="A1" s="5" t="s">
        <v>309</v>
      </c>
    </row>
  </sheetData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D1" workbookViewId="0">
      <selection activeCell="I19" sqref="I19"/>
    </sheetView>
  </sheetViews>
  <sheetFormatPr baseColWidth="10" defaultRowHeight="13" x14ac:dyDescent="0"/>
  <cols>
    <col min="1" max="1" width="36.85546875" bestFit="1" customWidth="1"/>
  </cols>
  <sheetData>
    <row r="1" spans="1:13">
      <c r="A1" s="26" t="s">
        <v>411</v>
      </c>
      <c r="I1" s="26" t="s">
        <v>462</v>
      </c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482</v>
      </c>
      <c r="J2" s="25" t="s">
        <v>483</v>
      </c>
      <c r="K2" s="25">
        <v>2008</v>
      </c>
      <c r="L2" s="25">
        <v>2009</v>
      </c>
      <c r="M2" s="25" t="s">
        <v>484</v>
      </c>
    </row>
    <row r="3" spans="1:13">
      <c r="A3" t="s">
        <v>531</v>
      </c>
      <c r="C3">
        <f>C29+C31</f>
        <v>378.03999999999996</v>
      </c>
      <c r="D3">
        <f t="shared" ref="D3:G3" si="0">D29+D31</f>
        <v>0</v>
      </c>
      <c r="E3">
        <f t="shared" si="0"/>
        <v>0</v>
      </c>
      <c r="F3">
        <f t="shared" si="0"/>
        <v>0</v>
      </c>
      <c r="G3">
        <f t="shared" si="0"/>
        <v>0</v>
      </c>
      <c r="I3" s="41">
        <f>C3*1.0485</f>
        <v>396.37493999999998</v>
      </c>
      <c r="J3" s="41">
        <f>D3*1.3362</f>
        <v>0</v>
      </c>
      <c r="K3" s="41">
        <f>E3*1.3919</f>
        <v>0</v>
      </c>
      <c r="L3" s="41">
        <f>F3*1.4406</f>
        <v>0</v>
      </c>
      <c r="M3" s="41">
        <f>G3*1.3362</f>
        <v>0</v>
      </c>
    </row>
    <row r="4" spans="1:13">
      <c r="A4" t="s">
        <v>436</v>
      </c>
      <c r="C4">
        <f>C34</f>
        <v>0</v>
      </c>
      <c r="D4">
        <f t="shared" ref="D4:G4" si="1">D34</f>
        <v>2</v>
      </c>
      <c r="E4">
        <f t="shared" si="1"/>
        <v>0</v>
      </c>
      <c r="F4">
        <f t="shared" si="1"/>
        <v>3</v>
      </c>
      <c r="G4">
        <f t="shared" si="1"/>
        <v>3</v>
      </c>
      <c r="I4" s="41">
        <f t="shared" ref="I4:I21" si="2">C4*1.0485</f>
        <v>0</v>
      </c>
      <c r="J4" s="41">
        <f t="shared" ref="J4:J21" si="3">D4*1.3362</f>
        <v>2.6724000000000001</v>
      </c>
      <c r="K4" s="41">
        <f t="shared" ref="K4:K6" si="4">E4*1.3919</f>
        <v>0</v>
      </c>
      <c r="L4" s="41">
        <f t="shared" ref="L4:L6" si="5">F4*1.4406</f>
        <v>4.3218000000000005</v>
      </c>
      <c r="M4" s="41">
        <f t="shared" ref="M4:M21" si="6">G4*1.3362</f>
        <v>4.0086000000000004</v>
      </c>
    </row>
    <row r="5" spans="1:13">
      <c r="A5" t="s">
        <v>437</v>
      </c>
      <c r="C5">
        <f>C36+C37</f>
        <v>432.67</v>
      </c>
      <c r="D5">
        <f t="shared" ref="D5:G5" si="7">D36+D37</f>
        <v>0</v>
      </c>
      <c r="E5">
        <f t="shared" si="7"/>
        <v>0</v>
      </c>
      <c r="F5">
        <f t="shared" si="7"/>
        <v>0</v>
      </c>
      <c r="G5">
        <f t="shared" si="7"/>
        <v>0</v>
      </c>
      <c r="I5" s="41">
        <f t="shared" si="2"/>
        <v>453.654495</v>
      </c>
      <c r="J5" s="41">
        <f t="shared" si="3"/>
        <v>0</v>
      </c>
      <c r="K5" s="41">
        <f t="shared" si="4"/>
        <v>0</v>
      </c>
      <c r="L5" s="41">
        <f t="shared" si="5"/>
        <v>0</v>
      </c>
      <c r="M5" s="41">
        <f t="shared" si="6"/>
        <v>0</v>
      </c>
    </row>
    <row r="6" spans="1:13">
      <c r="A6" t="s">
        <v>438</v>
      </c>
      <c r="C6">
        <f>SUM(C3:C5)</f>
        <v>810.71</v>
      </c>
      <c r="D6">
        <f t="shared" ref="D6:G6" si="8">SUM(D3:D5)</f>
        <v>2</v>
      </c>
      <c r="E6">
        <f t="shared" si="8"/>
        <v>0</v>
      </c>
      <c r="F6">
        <f t="shared" si="8"/>
        <v>3</v>
      </c>
      <c r="G6">
        <f t="shared" si="8"/>
        <v>3</v>
      </c>
      <c r="I6" s="41">
        <f t="shared" si="2"/>
        <v>850.02943500000003</v>
      </c>
      <c r="J6" s="41">
        <f t="shared" si="3"/>
        <v>2.6724000000000001</v>
      </c>
      <c r="K6" s="41">
        <f t="shared" si="4"/>
        <v>0</v>
      </c>
      <c r="L6" s="41">
        <f t="shared" si="5"/>
        <v>4.3218000000000005</v>
      </c>
      <c r="M6" s="41">
        <f t="shared" si="6"/>
        <v>4.0086000000000004</v>
      </c>
    </row>
    <row r="7" spans="1:13">
      <c r="I7" s="41"/>
      <c r="J7" s="41"/>
      <c r="K7" s="41"/>
      <c r="L7" s="41"/>
      <c r="M7" s="41"/>
    </row>
    <row r="8" spans="1:13">
      <c r="A8" t="s">
        <v>439</v>
      </c>
      <c r="C8">
        <f>C44+C46</f>
        <v>63.73</v>
      </c>
      <c r="D8">
        <f t="shared" ref="D8:G8" si="9">D44+D46</f>
        <v>107.03</v>
      </c>
      <c r="E8">
        <f t="shared" si="9"/>
        <v>105</v>
      </c>
      <c r="F8">
        <f t="shared" si="9"/>
        <v>111.1</v>
      </c>
      <c r="G8">
        <f t="shared" si="9"/>
        <v>105</v>
      </c>
      <c r="I8" s="41">
        <f t="shared" si="2"/>
        <v>66.820904999999996</v>
      </c>
      <c r="J8" s="41">
        <f t="shared" si="3"/>
        <v>143.013486</v>
      </c>
      <c r="K8" s="41">
        <f>E8*1.3919</f>
        <v>146.14949999999999</v>
      </c>
      <c r="L8" s="41">
        <f>F8*1.4406</f>
        <v>160.05065999999999</v>
      </c>
      <c r="M8" s="41">
        <f t="shared" si="6"/>
        <v>140.30100000000002</v>
      </c>
    </row>
    <row r="9" spans="1:13">
      <c r="A9" t="s">
        <v>440</v>
      </c>
      <c r="C9">
        <f>C49+C50+C51+C52+C53+C54+C55+C56+C57+C58+C59+C60+C61+C62+C63+C64+C65+C66+C67</f>
        <v>2033.3200000000002</v>
      </c>
      <c r="D9">
        <f t="shared" ref="D9:G9" si="10">D49+D50+D51+D52+D53+D54+D55+D56+D57+D58+D59+D60+D61+D62+D63+D64+D65+D66+D67</f>
        <v>2150.2399999999998</v>
      </c>
      <c r="E9">
        <f t="shared" si="10"/>
        <v>2326.89</v>
      </c>
      <c r="F9">
        <f t="shared" si="10"/>
        <v>2263.85</v>
      </c>
      <c r="G9">
        <f t="shared" si="10"/>
        <v>2219.5300000000002</v>
      </c>
      <c r="I9" s="41">
        <f t="shared" si="2"/>
        <v>2131.9360200000001</v>
      </c>
      <c r="J9" s="41">
        <f t="shared" si="3"/>
        <v>2873.1506879999997</v>
      </c>
      <c r="K9" s="41">
        <f t="shared" ref="K9:K11" si="11">E9*1.3919</f>
        <v>3238.7981909999994</v>
      </c>
      <c r="L9" s="41">
        <f t="shared" ref="L9:L11" si="12">F9*1.4406</f>
        <v>3261.30231</v>
      </c>
      <c r="M9" s="41">
        <f t="shared" si="6"/>
        <v>2965.7359860000006</v>
      </c>
    </row>
    <row r="10" spans="1:13">
      <c r="A10" t="s">
        <v>441</v>
      </c>
      <c r="I10" s="41">
        <f t="shared" si="2"/>
        <v>0</v>
      </c>
      <c r="J10" s="41">
        <f t="shared" si="3"/>
        <v>0</v>
      </c>
      <c r="K10" s="41">
        <f t="shared" si="11"/>
        <v>0</v>
      </c>
      <c r="L10" s="41">
        <f t="shared" si="12"/>
        <v>0</v>
      </c>
      <c r="M10" s="41">
        <f t="shared" si="6"/>
        <v>0</v>
      </c>
    </row>
    <row r="11" spans="1:13">
      <c r="A11" t="s">
        <v>442</v>
      </c>
      <c r="C11">
        <f>SUM(C8:C10)</f>
        <v>2097.0500000000002</v>
      </c>
      <c r="D11">
        <f t="shared" ref="D11:G11" si="13">SUM(D8:D10)</f>
        <v>2257.27</v>
      </c>
      <c r="E11">
        <f t="shared" si="13"/>
        <v>2431.89</v>
      </c>
      <c r="F11">
        <f t="shared" si="13"/>
        <v>2374.9499999999998</v>
      </c>
      <c r="G11">
        <f t="shared" si="13"/>
        <v>2324.5300000000002</v>
      </c>
      <c r="I11" s="41">
        <f t="shared" si="2"/>
        <v>2198.7569250000001</v>
      </c>
      <c r="J11" s="41">
        <f t="shared" si="3"/>
        <v>3016.164174</v>
      </c>
      <c r="K11" s="41">
        <f t="shared" si="11"/>
        <v>3384.9476909999994</v>
      </c>
      <c r="L11" s="41">
        <f t="shared" si="12"/>
        <v>3421.3529699999999</v>
      </c>
      <c r="M11" s="41">
        <f t="shared" si="6"/>
        <v>3106.0369860000005</v>
      </c>
    </row>
    <row r="12" spans="1:13">
      <c r="I12" s="41"/>
      <c r="J12" s="41"/>
      <c r="K12" s="41"/>
      <c r="L12" s="41"/>
      <c r="M12" s="41"/>
    </row>
    <row r="13" spans="1:13">
      <c r="A13" t="s">
        <v>443</v>
      </c>
      <c r="C13">
        <f>C75+C77</f>
        <v>2.2400000000000002</v>
      </c>
      <c r="D13">
        <f t="shared" ref="D13:G13" si="14">D75+D77</f>
        <v>3.3</v>
      </c>
      <c r="E13">
        <f t="shared" si="14"/>
        <v>1</v>
      </c>
      <c r="F13">
        <f t="shared" si="14"/>
        <v>6.9</v>
      </c>
      <c r="G13">
        <f t="shared" si="14"/>
        <v>2</v>
      </c>
      <c r="I13" s="41">
        <f t="shared" si="2"/>
        <v>2.3486400000000001</v>
      </c>
      <c r="J13" s="41">
        <f t="shared" si="3"/>
        <v>4.4094600000000002</v>
      </c>
      <c r="K13" s="41">
        <f>E13*1.3919</f>
        <v>1.3918999999999999</v>
      </c>
      <c r="L13" s="41">
        <f>F13*1.4406</f>
        <v>9.9401400000000013</v>
      </c>
      <c r="M13" s="41">
        <f t="shared" si="6"/>
        <v>2.6724000000000001</v>
      </c>
    </row>
    <row r="14" spans="1:13">
      <c r="A14" t="s">
        <v>444</v>
      </c>
      <c r="C14">
        <f>C80+C81+C82+C83+C84</f>
        <v>25.389999999999997</v>
      </c>
      <c r="D14">
        <f t="shared" ref="D14:G14" si="15">D80+D81+D82+D83+D84</f>
        <v>242.9</v>
      </c>
      <c r="E14">
        <f t="shared" si="15"/>
        <v>249.38</v>
      </c>
      <c r="F14">
        <f t="shared" si="15"/>
        <v>254.57</v>
      </c>
      <c r="G14">
        <f t="shared" si="15"/>
        <v>262.57</v>
      </c>
      <c r="I14" s="41">
        <f t="shared" si="2"/>
        <v>26.621414999999995</v>
      </c>
      <c r="J14" s="41">
        <f t="shared" si="3"/>
        <v>324.56298000000004</v>
      </c>
      <c r="K14" s="41">
        <f t="shared" ref="K14:K16" si="16">E14*1.3919</f>
        <v>347.11202199999997</v>
      </c>
      <c r="L14" s="41">
        <f t="shared" ref="L14:L16" si="17">F14*1.4406</f>
        <v>366.733542</v>
      </c>
      <c r="M14" s="41">
        <f t="shared" si="6"/>
        <v>350.84603400000003</v>
      </c>
    </row>
    <row r="15" spans="1:13">
      <c r="A15" t="s">
        <v>445</v>
      </c>
      <c r="I15" s="41">
        <f t="shared" si="2"/>
        <v>0</v>
      </c>
      <c r="J15" s="41">
        <f t="shared" si="3"/>
        <v>0</v>
      </c>
      <c r="K15" s="41">
        <f t="shared" si="16"/>
        <v>0</v>
      </c>
      <c r="L15" s="41">
        <f t="shared" si="17"/>
        <v>0</v>
      </c>
      <c r="M15" s="41">
        <f t="shared" si="6"/>
        <v>0</v>
      </c>
    </row>
    <row r="16" spans="1:13">
      <c r="A16" t="s">
        <v>446</v>
      </c>
      <c r="C16">
        <f>SUM(C13:C15)</f>
        <v>27.629999999999995</v>
      </c>
      <c r="D16">
        <f t="shared" ref="D16:G16" si="18">SUM(D13:D15)</f>
        <v>246.20000000000002</v>
      </c>
      <c r="E16">
        <f t="shared" si="18"/>
        <v>250.38</v>
      </c>
      <c r="F16">
        <f t="shared" si="18"/>
        <v>261.46999999999997</v>
      </c>
      <c r="G16">
        <f t="shared" si="18"/>
        <v>264.57</v>
      </c>
      <c r="I16" s="41">
        <f t="shared" si="2"/>
        <v>28.970054999999995</v>
      </c>
      <c r="J16" s="41">
        <f t="shared" si="3"/>
        <v>328.97244000000006</v>
      </c>
      <c r="K16" s="41">
        <f t="shared" si="16"/>
        <v>348.50392199999999</v>
      </c>
      <c r="L16" s="41">
        <f t="shared" si="17"/>
        <v>376.67368199999999</v>
      </c>
      <c r="M16" s="41">
        <f t="shared" si="6"/>
        <v>353.51843400000001</v>
      </c>
    </row>
    <row r="17" spans="1:13">
      <c r="I17" s="41"/>
      <c r="J17" s="41"/>
      <c r="K17" s="41"/>
      <c r="L17" s="41"/>
      <c r="M17" s="41"/>
    </row>
    <row r="18" spans="1:13">
      <c r="A18" t="s">
        <v>447</v>
      </c>
      <c r="C18" s="8">
        <f>C3+C8+C13</f>
        <v>444.01</v>
      </c>
      <c r="D18" s="8">
        <f>D3+D8+D13</f>
        <v>110.33</v>
      </c>
      <c r="E18" s="8">
        <f t="shared" ref="D18:G20" si="19">E3+E8+E13</f>
        <v>106</v>
      </c>
      <c r="F18" s="8">
        <f t="shared" si="19"/>
        <v>118</v>
      </c>
      <c r="G18" s="8">
        <f>G3+G8+G13</f>
        <v>107</v>
      </c>
      <c r="I18" s="41">
        <f t="shared" si="2"/>
        <v>465.54448500000001</v>
      </c>
      <c r="J18" s="41">
        <f t="shared" si="3"/>
        <v>147.422946</v>
      </c>
      <c r="K18" s="41">
        <f>E18*1.3919</f>
        <v>147.54139999999998</v>
      </c>
      <c r="L18" s="41">
        <f>F18*1.4406</f>
        <v>169.99080000000001</v>
      </c>
      <c r="M18" s="41">
        <f t="shared" si="6"/>
        <v>142.9734</v>
      </c>
    </row>
    <row r="19" spans="1:13">
      <c r="A19" t="s">
        <v>448</v>
      </c>
      <c r="C19" s="8">
        <f>C4+C9+C14</f>
        <v>2058.71</v>
      </c>
      <c r="D19" s="8">
        <f>D4+D9+D14</f>
        <v>2395.14</v>
      </c>
      <c r="E19" s="8">
        <f t="shared" si="19"/>
        <v>2576.27</v>
      </c>
      <c r="F19" s="8">
        <f t="shared" si="19"/>
        <v>2521.42</v>
      </c>
      <c r="G19" s="8">
        <f>G4+G9+G14</f>
        <v>2485.1000000000004</v>
      </c>
      <c r="I19" s="41">
        <f t="shared" si="2"/>
        <v>2158.5574350000002</v>
      </c>
      <c r="J19" s="41">
        <f t="shared" si="3"/>
        <v>3200.3860679999998</v>
      </c>
      <c r="K19" s="41">
        <f t="shared" ref="K19:K21" si="20">E19*1.3919</f>
        <v>3585.9102129999997</v>
      </c>
      <c r="L19" s="41">
        <f t="shared" ref="L19:L21" si="21">F19*1.4406</f>
        <v>3632.3576520000001</v>
      </c>
      <c r="M19" s="41">
        <f t="shared" si="6"/>
        <v>3320.5906200000004</v>
      </c>
    </row>
    <row r="20" spans="1:13">
      <c r="A20" t="s">
        <v>449</v>
      </c>
      <c r="C20" s="8">
        <f>C5+C10+C15</f>
        <v>432.67</v>
      </c>
      <c r="D20" s="8">
        <f t="shared" si="19"/>
        <v>0</v>
      </c>
      <c r="E20" s="8">
        <f t="shared" si="19"/>
        <v>0</v>
      </c>
      <c r="F20" s="8">
        <f t="shared" si="19"/>
        <v>0</v>
      </c>
      <c r="G20" s="8">
        <f t="shared" si="19"/>
        <v>0</v>
      </c>
      <c r="I20" s="41">
        <f t="shared" si="2"/>
        <v>453.654495</v>
      </c>
      <c r="J20" s="41">
        <f t="shared" si="3"/>
        <v>0</v>
      </c>
      <c r="K20" s="41">
        <f t="shared" si="20"/>
        <v>0</v>
      </c>
      <c r="L20" s="41">
        <f t="shared" si="21"/>
        <v>0</v>
      </c>
      <c r="M20" s="41">
        <f t="shared" si="6"/>
        <v>0</v>
      </c>
    </row>
    <row r="21" spans="1:13">
      <c r="A21" t="s">
        <v>525</v>
      </c>
      <c r="C21" s="8">
        <f>SUM(C18:C20)</f>
        <v>2935.3900000000003</v>
      </c>
      <c r="D21" s="8">
        <f t="shared" ref="D21:F21" si="22">SUM(D18:D20)</f>
        <v>2505.4699999999998</v>
      </c>
      <c r="E21" s="8">
        <f t="shared" si="22"/>
        <v>2682.27</v>
      </c>
      <c r="F21" s="8">
        <f t="shared" si="22"/>
        <v>2639.42</v>
      </c>
      <c r="G21" s="8">
        <f>SUM(G18:G20)</f>
        <v>2592.1000000000004</v>
      </c>
      <c r="I21" s="41">
        <f t="shared" si="2"/>
        <v>3077.7564150000003</v>
      </c>
      <c r="J21" s="41">
        <f t="shared" si="3"/>
        <v>3347.8090139999999</v>
      </c>
      <c r="K21" s="41">
        <f t="shared" si="20"/>
        <v>3733.4516129999997</v>
      </c>
      <c r="L21" s="41">
        <f t="shared" si="21"/>
        <v>3802.3484520000002</v>
      </c>
      <c r="M21" s="41">
        <f t="shared" si="6"/>
        <v>3463.5640200000007</v>
      </c>
    </row>
    <row r="25" spans="1:13">
      <c r="A25" s="3" t="s">
        <v>231</v>
      </c>
    </row>
    <row r="26" spans="1:13">
      <c r="A26" s="1" t="s">
        <v>334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</row>
    <row r="27" spans="1:13">
      <c r="A27" s="72" t="s">
        <v>485</v>
      </c>
      <c r="B27" s="72"/>
      <c r="C27" s="72"/>
      <c r="D27" s="72"/>
      <c r="E27" s="72"/>
      <c r="F27" s="72"/>
      <c r="G27" s="72"/>
    </row>
    <row r="28" spans="1:13">
      <c r="A28" s="73" t="s">
        <v>361</v>
      </c>
      <c r="B28" s="73"/>
      <c r="C28" s="73"/>
      <c r="D28" s="73"/>
      <c r="E28" s="73"/>
      <c r="F28" s="73"/>
      <c r="G28" s="73"/>
    </row>
    <row r="29" spans="1:13">
      <c r="A29" s="1" t="s">
        <v>310</v>
      </c>
      <c r="B29" s="1" t="s">
        <v>311</v>
      </c>
      <c r="C29" s="1">
        <v>345.53</v>
      </c>
      <c r="D29" s="1"/>
      <c r="E29" s="1"/>
      <c r="F29" s="1"/>
      <c r="G29" s="1"/>
      <c r="H29" s="2" t="s">
        <v>501</v>
      </c>
    </row>
    <row r="30" spans="1:13">
      <c r="A30" s="73" t="s">
        <v>431</v>
      </c>
      <c r="B30" s="73"/>
      <c r="C30" s="73"/>
      <c r="D30" s="73"/>
      <c r="E30" s="73"/>
      <c r="F30" s="73"/>
      <c r="G30" s="73"/>
    </row>
    <row r="31" spans="1:13">
      <c r="A31" s="1" t="s">
        <v>312</v>
      </c>
      <c r="B31" s="1" t="s">
        <v>311</v>
      </c>
      <c r="C31" s="1">
        <v>32.51</v>
      </c>
      <c r="D31" s="1"/>
      <c r="E31" s="1"/>
      <c r="F31" s="1"/>
      <c r="G31" s="1"/>
      <c r="H31" s="2" t="s">
        <v>501</v>
      </c>
    </row>
    <row r="32" spans="1:13">
      <c r="A32" s="72" t="s">
        <v>434</v>
      </c>
      <c r="B32" s="72"/>
      <c r="C32" s="72"/>
      <c r="D32" s="72"/>
      <c r="E32" s="72"/>
      <c r="F32" s="72"/>
      <c r="G32" s="72"/>
    </row>
    <row r="33" spans="1:8">
      <c r="A33" s="73" t="s">
        <v>435</v>
      </c>
      <c r="B33" s="73"/>
      <c r="C33" s="73"/>
      <c r="D33" s="73"/>
      <c r="E33" s="73"/>
      <c r="F33" s="73"/>
      <c r="G33" s="73"/>
    </row>
    <row r="34" spans="1:8">
      <c r="A34" s="1" t="s">
        <v>228</v>
      </c>
      <c r="B34" s="1" t="s">
        <v>311</v>
      </c>
      <c r="C34" s="1"/>
      <c r="D34" s="1">
        <v>2</v>
      </c>
      <c r="E34" s="1">
        <v>0</v>
      </c>
      <c r="F34" s="1">
        <v>3</v>
      </c>
      <c r="G34" s="1">
        <v>3</v>
      </c>
      <c r="H34" s="2" t="s">
        <v>496</v>
      </c>
    </row>
    <row r="35" spans="1:8">
      <c r="A35" s="72" t="s">
        <v>347</v>
      </c>
      <c r="B35" s="72"/>
      <c r="C35" s="72"/>
      <c r="D35" s="72"/>
      <c r="E35" s="72"/>
      <c r="F35" s="72"/>
      <c r="G35" s="72"/>
    </row>
    <row r="36" spans="1:8">
      <c r="A36" s="1" t="s">
        <v>229</v>
      </c>
      <c r="B36" s="1" t="s">
        <v>311</v>
      </c>
      <c r="C36" s="1">
        <v>11.2</v>
      </c>
      <c r="D36" s="1"/>
      <c r="E36" s="1"/>
      <c r="F36" s="1"/>
      <c r="G36" s="1"/>
      <c r="H36" s="2" t="s">
        <v>501</v>
      </c>
    </row>
    <row r="37" spans="1:8">
      <c r="A37" s="1" t="s">
        <v>230</v>
      </c>
      <c r="B37" s="1" t="s">
        <v>311</v>
      </c>
      <c r="C37" s="1">
        <v>421.47</v>
      </c>
      <c r="D37" s="1"/>
      <c r="E37" s="1"/>
      <c r="F37" s="1"/>
      <c r="G37" s="1"/>
      <c r="H37" s="2" t="s">
        <v>501</v>
      </c>
    </row>
    <row r="40" spans="1:8">
      <c r="A40" s="3" t="s">
        <v>194</v>
      </c>
    </row>
    <row r="41" spans="1:8">
      <c r="A41" s="1" t="s">
        <v>334</v>
      </c>
      <c r="B41" s="1" t="s">
        <v>481</v>
      </c>
      <c r="C41" s="1" t="s">
        <v>482</v>
      </c>
      <c r="D41" s="1" t="s">
        <v>483</v>
      </c>
      <c r="E41" s="1">
        <v>2008</v>
      </c>
      <c r="F41" s="1">
        <v>2009</v>
      </c>
      <c r="G41" s="1" t="s">
        <v>484</v>
      </c>
    </row>
    <row r="42" spans="1:8">
      <c r="A42" s="72" t="s">
        <v>485</v>
      </c>
      <c r="B42" s="72"/>
      <c r="C42" s="72"/>
      <c r="D42" s="72"/>
      <c r="E42" s="72"/>
      <c r="F42" s="72"/>
      <c r="G42" s="72"/>
    </row>
    <row r="43" spans="1:8">
      <c r="A43" s="73" t="s">
        <v>361</v>
      </c>
      <c r="B43" s="73"/>
      <c r="C43" s="73"/>
      <c r="D43" s="73"/>
      <c r="E43" s="73"/>
      <c r="F43" s="73"/>
      <c r="G43" s="73"/>
    </row>
    <row r="44" spans="1:8">
      <c r="A44" s="1" t="s">
        <v>232</v>
      </c>
      <c r="B44" s="1" t="s">
        <v>311</v>
      </c>
      <c r="C44" s="1">
        <v>2.73</v>
      </c>
      <c r="D44" s="1">
        <v>2.0299999999999998</v>
      </c>
      <c r="E44" s="1">
        <v>0</v>
      </c>
      <c r="F44" s="1">
        <v>6.1</v>
      </c>
      <c r="G44" s="1">
        <v>0</v>
      </c>
    </row>
    <row r="45" spans="1:8">
      <c r="A45" s="73" t="s">
        <v>238</v>
      </c>
      <c r="B45" s="73"/>
      <c r="C45" s="73"/>
      <c r="D45" s="73"/>
      <c r="E45" s="73"/>
      <c r="F45" s="73"/>
      <c r="G45" s="73"/>
    </row>
    <row r="46" spans="1:8">
      <c r="A46" s="1" t="s">
        <v>239</v>
      </c>
      <c r="B46" s="1" t="s">
        <v>311</v>
      </c>
      <c r="C46" s="1">
        <v>61</v>
      </c>
      <c r="D46" s="1">
        <v>105</v>
      </c>
      <c r="E46" s="1">
        <v>105</v>
      </c>
      <c r="F46" s="1">
        <v>105</v>
      </c>
      <c r="G46" s="1">
        <v>105</v>
      </c>
    </row>
    <row r="47" spans="1:8">
      <c r="A47" s="72" t="s">
        <v>434</v>
      </c>
      <c r="B47" s="72"/>
      <c r="C47" s="72"/>
      <c r="D47" s="72"/>
      <c r="E47" s="72"/>
      <c r="F47" s="72"/>
      <c r="G47" s="72"/>
    </row>
    <row r="48" spans="1:8">
      <c r="A48" s="73" t="s">
        <v>435</v>
      </c>
      <c r="B48" s="73"/>
      <c r="C48" s="73"/>
      <c r="D48" s="73"/>
      <c r="E48" s="73"/>
      <c r="F48" s="73"/>
      <c r="G48" s="73"/>
    </row>
    <row r="49" spans="1:8">
      <c r="A49" s="1" t="s">
        <v>240</v>
      </c>
      <c r="B49" s="1" t="s">
        <v>311</v>
      </c>
      <c r="C49" s="1"/>
      <c r="D49" s="1"/>
      <c r="E49" s="1">
        <v>124.59</v>
      </c>
      <c r="F49" s="1">
        <v>190.75</v>
      </c>
      <c r="G49" s="1"/>
      <c r="H49" s="2" t="s">
        <v>501</v>
      </c>
    </row>
    <row r="50" spans="1:8">
      <c r="A50" s="1" t="s">
        <v>241</v>
      </c>
      <c r="B50" s="1" t="s">
        <v>311</v>
      </c>
      <c r="C50" s="1">
        <v>10.77</v>
      </c>
      <c r="D50" s="1">
        <v>7.33</v>
      </c>
      <c r="E50" s="1">
        <v>8</v>
      </c>
      <c r="F50" s="1">
        <v>6.38</v>
      </c>
      <c r="G50" s="1">
        <v>7.61</v>
      </c>
    </row>
    <row r="51" spans="1:8">
      <c r="A51" s="1" t="s">
        <v>242</v>
      </c>
      <c r="B51" s="1" t="s">
        <v>243</v>
      </c>
      <c r="C51" s="1">
        <v>124.67</v>
      </c>
      <c r="D51" s="1">
        <v>70</v>
      </c>
      <c r="E51" s="1">
        <v>80</v>
      </c>
      <c r="F51" s="1">
        <v>65</v>
      </c>
      <c r="G51" s="1">
        <v>65</v>
      </c>
    </row>
    <row r="52" spans="1:8">
      <c r="A52" s="1" t="s">
        <v>244</v>
      </c>
      <c r="B52" s="1" t="s">
        <v>245</v>
      </c>
      <c r="C52" s="1"/>
      <c r="D52" s="1">
        <v>13.92</v>
      </c>
      <c r="E52" s="1">
        <v>13.58</v>
      </c>
      <c r="F52" s="1">
        <v>13.99</v>
      </c>
      <c r="G52" s="1">
        <v>14.19</v>
      </c>
      <c r="H52" t="s">
        <v>504</v>
      </c>
    </row>
    <row r="53" spans="1:8">
      <c r="A53" s="1" t="s">
        <v>257</v>
      </c>
      <c r="B53" s="1" t="s">
        <v>311</v>
      </c>
      <c r="C53" s="1">
        <v>63.67</v>
      </c>
      <c r="D53" s="1">
        <v>19.329999999999998</v>
      </c>
      <c r="E53" s="1">
        <v>17</v>
      </c>
      <c r="F53" s="1">
        <v>15</v>
      </c>
      <c r="G53" s="1">
        <v>26</v>
      </c>
    </row>
    <row r="54" spans="1:8">
      <c r="A54" s="1" t="s">
        <v>258</v>
      </c>
      <c r="B54" s="1" t="s">
        <v>311</v>
      </c>
      <c r="C54" s="1">
        <v>4.2699999999999996</v>
      </c>
      <c r="D54" s="1"/>
      <c r="E54" s="1">
        <v>3</v>
      </c>
      <c r="F54" s="1"/>
      <c r="G54" s="1"/>
      <c r="H54" s="2" t="s">
        <v>499</v>
      </c>
    </row>
    <row r="55" spans="1:8">
      <c r="A55" s="1" t="s">
        <v>259</v>
      </c>
      <c r="B55" s="1" t="s">
        <v>311</v>
      </c>
      <c r="C55" s="1">
        <v>0</v>
      </c>
      <c r="D55" s="1">
        <v>1.43</v>
      </c>
      <c r="E55" s="1">
        <v>1.43</v>
      </c>
      <c r="F55" s="1">
        <v>1.43</v>
      </c>
      <c r="G55" s="1">
        <v>1.43</v>
      </c>
    </row>
    <row r="56" spans="1:8">
      <c r="A56" s="1" t="s">
        <v>260</v>
      </c>
      <c r="B56" s="1" t="s">
        <v>311</v>
      </c>
      <c r="C56" s="1"/>
      <c r="D56" s="1"/>
      <c r="E56" s="1">
        <v>30</v>
      </c>
      <c r="F56" s="1">
        <v>10</v>
      </c>
      <c r="G56" s="1"/>
      <c r="H56" s="2" t="s">
        <v>499</v>
      </c>
    </row>
    <row r="57" spans="1:8">
      <c r="A57" s="1" t="s">
        <v>261</v>
      </c>
      <c r="B57" s="1" t="s">
        <v>311</v>
      </c>
      <c r="C57" s="1">
        <v>993.33</v>
      </c>
      <c r="D57" s="1">
        <v>1100</v>
      </c>
      <c r="E57" s="1">
        <v>1100</v>
      </c>
      <c r="F57" s="1">
        <v>1100</v>
      </c>
      <c r="G57" s="1">
        <v>1100</v>
      </c>
    </row>
    <row r="58" spans="1:8">
      <c r="A58" s="1" t="s">
        <v>262</v>
      </c>
      <c r="B58" s="1" t="s">
        <v>311</v>
      </c>
      <c r="C58" s="1">
        <v>5.67</v>
      </c>
      <c r="D58" s="1">
        <v>6</v>
      </c>
      <c r="E58" s="1">
        <v>6</v>
      </c>
      <c r="F58" s="1">
        <v>6</v>
      </c>
      <c r="G58" s="1">
        <v>6</v>
      </c>
    </row>
    <row r="59" spans="1:8">
      <c r="A59" s="1" t="s">
        <v>263</v>
      </c>
      <c r="B59" s="1" t="s">
        <v>311</v>
      </c>
      <c r="C59" s="1"/>
      <c r="D59" s="1">
        <v>40.33</v>
      </c>
      <c r="E59" s="1">
        <v>39</v>
      </c>
      <c r="F59" s="1">
        <v>41</v>
      </c>
      <c r="G59" s="1">
        <v>41</v>
      </c>
      <c r="H59" s="2" t="s">
        <v>496</v>
      </c>
    </row>
    <row r="60" spans="1:8">
      <c r="A60" s="1" t="s">
        <v>264</v>
      </c>
      <c r="B60" s="1" t="s">
        <v>311</v>
      </c>
      <c r="C60" s="1"/>
      <c r="D60" s="1">
        <v>25</v>
      </c>
      <c r="E60" s="1">
        <v>0</v>
      </c>
      <c r="F60" s="1">
        <v>0</v>
      </c>
      <c r="G60" s="1">
        <v>75</v>
      </c>
      <c r="H60" s="2" t="s">
        <v>496</v>
      </c>
    </row>
    <row r="61" spans="1:8">
      <c r="A61" s="1" t="s">
        <v>265</v>
      </c>
      <c r="B61" s="1" t="s">
        <v>311</v>
      </c>
      <c r="C61" s="1">
        <v>1.57</v>
      </c>
      <c r="D61" s="1">
        <v>1</v>
      </c>
      <c r="E61" s="1">
        <v>1</v>
      </c>
      <c r="F61" s="1">
        <v>1</v>
      </c>
      <c r="G61" s="1">
        <v>1</v>
      </c>
    </row>
    <row r="62" spans="1:8">
      <c r="A62" s="1" t="s">
        <v>266</v>
      </c>
      <c r="B62" s="1" t="s">
        <v>311</v>
      </c>
      <c r="C62" s="1">
        <v>0.6</v>
      </c>
      <c r="D62" s="1"/>
      <c r="E62" s="1">
        <v>1.19</v>
      </c>
      <c r="F62" s="1"/>
      <c r="G62" s="1"/>
      <c r="H62" s="2" t="s">
        <v>499</v>
      </c>
    </row>
    <row r="63" spans="1:8">
      <c r="A63" s="1" t="s">
        <v>267</v>
      </c>
      <c r="B63" s="1" t="s">
        <v>311</v>
      </c>
      <c r="C63" s="1">
        <v>257.67</v>
      </c>
      <c r="D63" s="1">
        <v>297</v>
      </c>
      <c r="E63" s="1">
        <v>295</v>
      </c>
      <c r="F63" s="1">
        <v>288</v>
      </c>
      <c r="G63" s="1">
        <v>308</v>
      </c>
    </row>
    <row r="64" spans="1:8">
      <c r="A64" s="1" t="s">
        <v>268</v>
      </c>
      <c r="B64" s="1" t="s">
        <v>311</v>
      </c>
      <c r="C64" s="1"/>
      <c r="D64" s="1">
        <v>26</v>
      </c>
      <c r="E64" s="1">
        <v>26</v>
      </c>
      <c r="F64" s="1">
        <v>26</v>
      </c>
      <c r="G64" s="1">
        <v>26</v>
      </c>
      <c r="H64" s="2" t="s">
        <v>496</v>
      </c>
    </row>
    <row r="65" spans="1:8">
      <c r="A65" s="1" t="s">
        <v>191</v>
      </c>
      <c r="B65" s="1" t="s">
        <v>311</v>
      </c>
      <c r="C65" s="1"/>
      <c r="D65" s="1">
        <v>138.66999999999999</v>
      </c>
      <c r="E65" s="1">
        <v>165</v>
      </c>
      <c r="F65" s="1">
        <v>101</v>
      </c>
      <c r="G65" s="1">
        <v>150</v>
      </c>
      <c r="H65" t="s">
        <v>504</v>
      </c>
    </row>
    <row r="66" spans="1:8">
      <c r="A66" s="1" t="s">
        <v>192</v>
      </c>
      <c r="B66" s="1" t="s">
        <v>311</v>
      </c>
      <c r="C66" s="1">
        <v>202.67</v>
      </c>
      <c r="D66" s="1">
        <v>99</v>
      </c>
      <c r="E66" s="1">
        <v>101</v>
      </c>
      <c r="F66" s="1">
        <v>98</v>
      </c>
      <c r="G66" s="1">
        <v>98</v>
      </c>
    </row>
    <row r="67" spans="1:8">
      <c r="A67" s="1" t="s">
        <v>193</v>
      </c>
      <c r="B67" s="1" t="s">
        <v>311</v>
      </c>
      <c r="C67" s="1">
        <v>368.43</v>
      </c>
      <c r="D67" s="1">
        <v>305.23</v>
      </c>
      <c r="E67" s="1">
        <v>315.10000000000002</v>
      </c>
      <c r="F67" s="1">
        <v>300.3</v>
      </c>
      <c r="G67" s="1">
        <v>300.3</v>
      </c>
    </row>
    <row r="68" spans="1:8">
      <c r="A68" s="72" t="s">
        <v>349</v>
      </c>
      <c r="B68" s="72"/>
      <c r="C68" s="72"/>
      <c r="D68" s="72"/>
      <c r="E68" s="72"/>
      <c r="F68" s="72"/>
      <c r="G68" s="72"/>
    </row>
    <row r="71" spans="1:8">
      <c r="A71" s="3" t="s">
        <v>278</v>
      </c>
    </row>
    <row r="72" spans="1:8">
      <c r="A72" s="1" t="s">
        <v>334</v>
      </c>
      <c r="B72" s="1" t="s">
        <v>481</v>
      </c>
      <c r="C72" s="1" t="s">
        <v>482</v>
      </c>
      <c r="D72" s="1" t="s">
        <v>483</v>
      </c>
      <c r="E72" s="1">
        <v>2008</v>
      </c>
      <c r="F72" s="1">
        <v>2009</v>
      </c>
      <c r="G72" s="1" t="s">
        <v>484</v>
      </c>
    </row>
    <row r="73" spans="1:8">
      <c r="A73" s="72" t="s">
        <v>485</v>
      </c>
      <c r="B73" s="72"/>
      <c r="C73" s="72"/>
      <c r="D73" s="72"/>
      <c r="E73" s="72"/>
      <c r="F73" s="72"/>
      <c r="G73" s="72"/>
    </row>
    <row r="74" spans="1:8">
      <c r="A74" s="73" t="s">
        <v>361</v>
      </c>
      <c r="B74" s="73"/>
      <c r="C74" s="73"/>
      <c r="D74" s="73"/>
      <c r="E74" s="73"/>
      <c r="F74" s="73"/>
      <c r="G74" s="73"/>
    </row>
    <row r="75" spans="1:8">
      <c r="A75" s="1" t="s">
        <v>232</v>
      </c>
      <c r="B75" s="1" t="s">
        <v>311</v>
      </c>
      <c r="C75" s="1">
        <v>2.2400000000000002</v>
      </c>
      <c r="D75" s="1">
        <v>1.63</v>
      </c>
      <c r="E75" s="1">
        <v>0</v>
      </c>
      <c r="F75" s="1">
        <v>4.9000000000000004</v>
      </c>
      <c r="G75" s="1">
        <v>0</v>
      </c>
    </row>
    <row r="76" spans="1:8">
      <c r="A76" s="73" t="s">
        <v>238</v>
      </c>
      <c r="B76" s="73"/>
      <c r="C76" s="73"/>
      <c r="D76" s="73"/>
      <c r="E76" s="73"/>
      <c r="F76" s="73"/>
      <c r="G76" s="73"/>
    </row>
    <row r="77" spans="1:8">
      <c r="A77" s="1" t="s">
        <v>195</v>
      </c>
      <c r="B77" s="1" t="s">
        <v>311</v>
      </c>
      <c r="C77" s="1"/>
      <c r="D77" s="1">
        <v>1.67</v>
      </c>
      <c r="E77" s="1">
        <v>1</v>
      </c>
      <c r="F77" s="1">
        <v>2</v>
      </c>
      <c r="G77" s="1">
        <v>2</v>
      </c>
      <c r="H77" s="2" t="s">
        <v>496</v>
      </c>
    </row>
    <row r="78" spans="1:8">
      <c r="A78" s="72" t="s">
        <v>434</v>
      </c>
      <c r="B78" s="72"/>
      <c r="C78" s="72"/>
      <c r="D78" s="72"/>
      <c r="E78" s="72"/>
      <c r="F78" s="72"/>
      <c r="G78" s="72"/>
    </row>
    <row r="79" spans="1:8">
      <c r="A79" s="73" t="s">
        <v>435</v>
      </c>
      <c r="B79" s="73"/>
      <c r="C79" s="73"/>
      <c r="D79" s="73"/>
      <c r="E79" s="73"/>
      <c r="F79" s="73"/>
      <c r="G79" s="73"/>
    </row>
    <row r="80" spans="1:8">
      <c r="A80" s="1" t="s">
        <v>259</v>
      </c>
      <c r="B80" s="1" t="s">
        <v>311</v>
      </c>
      <c r="C80" s="1">
        <v>25.33</v>
      </c>
      <c r="D80" s="1">
        <v>8.57</v>
      </c>
      <c r="E80" s="1">
        <v>8.57</v>
      </c>
      <c r="F80" s="1">
        <v>8.57</v>
      </c>
      <c r="G80" s="1">
        <v>8.57</v>
      </c>
    </row>
    <row r="81" spans="1:8">
      <c r="A81" s="1" t="s">
        <v>196</v>
      </c>
      <c r="B81" s="1" t="s">
        <v>311</v>
      </c>
      <c r="C81" s="1"/>
      <c r="D81" s="1"/>
      <c r="E81" s="1">
        <v>37</v>
      </c>
      <c r="F81" s="1"/>
      <c r="G81" s="1"/>
      <c r="H81" s="2" t="s">
        <v>499</v>
      </c>
    </row>
    <row r="82" spans="1:8">
      <c r="A82" s="1" t="s">
        <v>276</v>
      </c>
      <c r="B82" s="1" t="s">
        <v>311</v>
      </c>
      <c r="C82" s="1"/>
      <c r="D82" s="1">
        <v>227.33</v>
      </c>
      <c r="E82" s="1">
        <v>200</v>
      </c>
      <c r="F82" s="1">
        <v>237</v>
      </c>
      <c r="G82" s="1">
        <v>245</v>
      </c>
      <c r="H82" s="2" t="s">
        <v>496</v>
      </c>
    </row>
    <row r="83" spans="1:8">
      <c r="A83" s="1" t="s">
        <v>277</v>
      </c>
      <c r="B83" s="1" t="s">
        <v>311</v>
      </c>
      <c r="C83" s="1"/>
      <c r="D83" s="1">
        <v>7</v>
      </c>
      <c r="E83" s="1">
        <v>3</v>
      </c>
      <c r="F83" s="1">
        <v>9</v>
      </c>
      <c r="G83" s="1">
        <v>9</v>
      </c>
      <c r="H83" s="2" t="s">
        <v>496</v>
      </c>
    </row>
    <row r="84" spans="1:8">
      <c r="A84" s="1" t="s">
        <v>266</v>
      </c>
      <c r="B84" s="1" t="s">
        <v>311</v>
      </c>
      <c r="C84" s="1">
        <v>0.06</v>
      </c>
      <c r="D84" s="1"/>
      <c r="E84" s="1">
        <v>0.81</v>
      </c>
      <c r="F84" s="1"/>
      <c r="G84" s="1"/>
      <c r="H84" s="2" t="s">
        <v>499</v>
      </c>
    </row>
    <row r="85" spans="1:8">
      <c r="A85" s="72" t="s">
        <v>505</v>
      </c>
      <c r="B85" s="72"/>
      <c r="C85" s="72"/>
      <c r="D85" s="72"/>
      <c r="E85" s="72"/>
      <c r="F85" s="72"/>
      <c r="G85" s="72"/>
    </row>
  </sheetData>
  <mergeCells count="18">
    <mergeCell ref="A35:G35"/>
    <mergeCell ref="A27:G27"/>
    <mergeCell ref="A28:G28"/>
    <mergeCell ref="A30:G30"/>
    <mergeCell ref="A32:G32"/>
    <mergeCell ref="A33:G33"/>
    <mergeCell ref="A85:G85"/>
    <mergeCell ref="A42:G42"/>
    <mergeCell ref="A43:G43"/>
    <mergeCell ref="A45:G45"/>
    <mergeCell ref="A47:G47"/>
    <mergeCell ref="A48:G48"/>
    <mergeCell ref="A68:G68"/>
    <mergeCell ref="A73:G73"/>
    <mergeCell ref="A74:G74"/>
    <mergeCell ref="A76:G76"/>
    <mergeCell ref="A78:G78"/>
    <mergeCell ref="A79:G79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I3" sqref="I3:M21"/>
    </sheetView>
  </sheetViews>
  <sheetFormatPr baseColWidth="10" defaultRowHeight="13" x14ac:dyDescent="0"/>
  <cols>
    <col min="1" max="1" width="32.5703125" customWidth="1"/>
    <col min="8" max="8" width="10" style="16" customWidth="1"/>
  </cols>
  <sheetData>
    <row r="1" spans="1:13">
      <c r="A1" s="26" t="s">
        <v>410</v>
      </c>
      <c r="I1" s="74" t="s">
        <v>461</v>
      </c>
      <c r="J1" s="74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C3">
        <f>C29+C31+C32+C33+C35+C37+C38+C40</f>
        <v>4165.4399999999996</v>
      </c>
      <c r="D3">
        <f t="shared" ref="D3:G3" si="0">D29+D31+D32+D33+D35+D37+D38+D40</f>
        <v>2482.0600000000004</v>
      </c>
      <c r="E3">
        <f t="shared" si="0"/>
        <v>2950.5699999999997</v>
      </c>
      <c r="F3">
        <f t="shared" si="0"/>
        <v>2265.21</v>
      </c>
      <c r="G3">
        <f t="shared" si="0"/>
        <v>2231.42</v>
      </c>
      <c r="I3" s="41">
        <f>C3*1.0485</f>
        <v>4367.4638399999994</v>
      </c>
      <c r="J3" s="41">
        <f>D3*1.3362</f>
        <v>3316.5285720000006</v>
      </c>
      <c r="K3" s="41">
        <f>E3*1.3919</f>
        <v>4106.8983829999997</v>
      </c>
      <c r="L3" s="41">
        <f>F3*1.4406</f>
        <v>3263.2615260000002</v>
      </c>
      <c r="M3" s="41">
        <f>G3*1.3362</f>
        <v>2981.6234040000004</v>
      </c>
    </row>
    <row r="4" spans="1:13">
      <c r="A4" t="s">
        <v>436</v>
      </c>
      <c r="C4">
        <f>C43+C44</f>
        <v>654.15</v>
      </c>
      <c r="D4">
        <f t="shared" ref="D4:G4" si="1">D43+D44</f>
        <v>2470.9699999999998</v>
      </c>
      <c r="E4">
        <f t="shared" si="1"/>
        <v>2400.17</v>
      </c>
      <c r="F4">
        <f t="shared" si="1"/>
        <v>2507.17</v>
      </c>
      <c r="G4">
        <f t="shared" si="1"/>
        <v>2505.56</v>
      </c>
      <c r="I4" s="41">
        <f t="shared" ref="I4:I21" si="2">C4*1.0485</f>
        <v>685.87627499999996</v>
      </c>
      <c r="J4" s="41">
        <f t="shared" ref="J4:J21" si="3">D4*1.3362</f>
        <v>3301.710114</v>
      </c>
      <c r="K4" s="41">
        <f t="shared" ref="K4:K6" si="4">E4*1.3919</f>
        <v>3340.7966229999997</v>
      </c>
      <c r="L4" s="41">
        <f t="shared" ref="L4:L6" si="5">F4*1.4406</f>
        <v>3611.8291020000001</v>
      </c>
      <c r="M4" s="41">
        <f t="shared" ref="M4:M21" si="6">G4*1.3362</f>
        <v>3347.9292719999999</v>
      </c>
    </row>
    <row r="5" spans="1:13">
      <c r="A5" t="s">
        <v>437</v>
      </c>
      <c r="C5">
        <f>C46+C47+C48</f>
        <v>210.16</v>
      </c>
      <c r="D5">
        <f t="shared" ref="D5:G5" si="7">D46+D47+D48</f>
        <v>165.08</v>
      </c>
      <c r="E5">
        <f t="shared" si="7"/>
        <v>171.61</v>
      </c>
      <c r="F5">
        <f t="shared" si="7"/>
        <v>163.72</v>
      </c>
      <c r="G5">
        <f t="shared" si="7"/>
        <v>159.91</v>
      </c>
      <c r="I5" s="41">
        <f t="shared" si="2"/>
        <v>220.35275999999999</v>
      </c>
      <c r="J5" s="41">
        <f t="shared" si="3"/>
        <v>220.57989600000002</v>
      </c>
      <c r="K5" s="41">
        <f t="shared" si="4"/>
        <v>238.86395899999999</v>
      </c>
      <c r="L5" s="41">
        <f t="shared" si="5"/>
        <v>235.85503200000002</v>
      </c>
      <c r="M5" s="41">
        <f t="shared" si="6"/>
        <v>213.67174199999999</v>
      </c>
    </row>
    <row r="6" spans="1:13">
      <c r="A6" t="s">
        <v>438</v>
      </c>
      <c r="C6">
        <f>SUM(C3:C5)</f>
        <v>5029.7499999999991</v>
      </c>
      <c r="D6">
        <f t="shared" ref="D6:G6" si="8">SUM(D3:D5)</f>
        <v>5118.1100000000006</v>
      </c>
      <c r="E6">
        <f t="shared" si="8"/>
        <v>5522.3499999999995</v>
      </c>
      <c r="F6">
        <f t="shared" si="8"/>
        <v>4936.1000000000004</v>
      </c>
      <c r="G6">
        <f t="shared" si="8"/>
        <v>4896.8899999999994</v>
      </c>
      <c r="I6" s="41">
        <f t="shared" si="2"/>
        <v>5273.6928749999988</v>
      </c>
      <c r="J6" s="41">
        <f t="shared" si="3"/>
        <v>6838.8185820000008</v>
      </c>
      <c r="K6" s="41">
        <f t="shared" si="4"/>
        <v>7686.5589649999984</v>
      </c>
      <c r="L6" s="41">
        <f t="shared" si="5"/>
        <v>7110.9456600000012</v>
      </c>
      <c r="M6" s="41">
        <f t="shared" si="6"/>
        <v>6543.2244179999998</v>
      </c>
    </row>
    <row r="7" spans="1:13">
      <c r="I7" s="41"/>
      <c r="J7" s="41"/>
      <c r="K7" s="41"/>
      <c r="L7" s="41"/>
      <c r="M7" s="41"/>
    </row>
    <row r="8" spans="1:13">
      <c r="A8" t="s">
        <v>439</v>
      </c>
      <c r="C8">
        <f>C55</f>
        <v>225.54</v>
      </c>
      <c r="D8">
        <f t="shared" ref="D8:G8" si="9">D55</f>
        <v>247.51</v>
      </c>
      <c r="E8">
        <f t="shared" si="9"/>
        <v>230.44</v>
      </c>
      <c r="F8">
        <f t="shared" si="9"/>
        <v>256.04000000000002</v>
      </c>
      <c r="G8">
        <f t="shared" si="9"/>
        <v>256.04000000000002</v>
      </c>
      <c r="I8" s="41">
        <f t="shared" si="2"/>
        <v>236.47869</v>
      </c>
      <c r="J8" s="41">
        <f t="shared" si="3"/>
        <v>330.72286200000002</v>
      </c>
      <c r="K8" s="41">
        <f>E8*1.3919</f>
        <v>320.749436</v>
      </c>
      <c r="L8" s="41">
        <f>F8*1.4406</f>
        <v>368.85122400000006</v>
      </c>
      <c r="M8" s="41">
        <f t="shared" si="6"/>
        <v>342.12064800000002</v>
      </c>
    </row>
    <row r="9" spans="1:13">
      <c r="A9" t="s">
        <v>440</v>
      </c>
      <c r="C9">
        <f>C58+C59+C60+C61+C62+C63+C64+C65+C66+C67</f>
        <v>934.78000000000009</v>
      </c>
      <c r="D9">
        <f t="shared" ref="D9:G9" si="10">D58+D59+D60+D61+D62+D63+D64+D65+D66+D67</f>
        <v>1504.6</v>
      </c>
      <c r="E9">
        <f t="shared" si="10"/>
        <v>1268.72</v>
      </c>
      <c r="F9">
        <f t="shared" si="10"/>
        <v>1552.18</v>
      </c>
      <c r="G9">
        <f t="shared" si="10"/>
        <v>1692.92</v>
      </c>
      <c r="I9" s="41">
        <f t="shared" si="2"/>
        <v>980.11683000000005</v>
      </c>
      <c r="J9" s="41">
        <f t="shared" si="3"/>
        <v>2010.44652</v>
      </c>
      <c r="K9" s="41">
        <f t="shared" ref="K9:K11" si="11">E9*1.3919</f>
        <v>1765.931368</v>
      </c>
      <c r="L9" s="41">
        <f t="shared" ref="L9:L11" si="12">F9*1.4406</f>
        <v>2236.0705080000002</v>
      </c>
      <c r="M9" s="41">
        <f t="shared" si="6"/>
        <v>2262.0797040000002</v>
      </c>
    </row>
    <row r="10" spans="1:13">
      <c r="A10" t="s">
        <v>441</v>
      </c>
      <c r="I10" s="41">
        <f t="shared" si="2"/>
        <v>0</v>
      </c>
      <c r="J10" s="41">
        <f t="shared" si="3"/>
        <v>0</v>
      </c>
      <c r="K10" s="41">
        <f t="shared" si="11"/>
        <v>0</v>
      </c>
      <c r="L10" s="41">
        <f t="shared" si="12"/>
        <v>0</v>
      </c>
      <c r="M10" s="41">
        <f t="shared" si="6"/>
        <v>0</v>
      </c>
    </row>
    <row r="11" spans="1:13">
      <c r="A11" t="s">
        <v>442</v>
      </c>
      <c r="C11">
        <f>SUM(C8:C10)</f>
        <v>1160.3200000000002</v>
      </c>
      <c r="D11">
        <f t="shared" ref="D11:G11" si="13">SUM(D8:D10)</f>
        <v>1752.11</v>
      </c>
      <c r="E11">
        <f t="shared" si="13"/>
        <v>1499.16</v>
      </c>
      <c r="F11">
        <f t="shared" si="13"/>
        <v>1808.22</v>
      </c>
      <c r="G11">
        <f t="shared" si="13"/>
        <v>1948.96</v>
      </c>
      <c r="I11" s="41">
        <f t="shared" si="2"/>
        <v>1216.5955200000001</v>
      </c>
      <c r="J11" s="41">
        <f t="shared" si="3"/>
        <v>2341.169382</v>
      </c>
      <c r="K11" s="41">
        <f t="shared" si="11"/>
        <v>2086.6808040000001</v>
      </c>
      <c r="L11" s="41">
        <f t="shared" si="12"/>
        <v>2604.9217320000002</v>
      </c>
      <c r="M11" s="41">
        <f t="shared" si="6"/>
        <v>2604.2003520000003</v>
      </c>
    </row>
    <row r="12" spans="1:13">
      <c r="I12" s="41"/>
      <c r="J12" s="41"/>
      <c r="K12" s="41"/>
      <c r="L12" s="41"/>
      <c r="M12" s="41"/>
    </row>
    <row r="13" spans="1:13">
      <c r="A13" t="s">
        <v>443</v>
      </c>
      <c r="C13">
        <f>C55</f>
        <v>225.54</v>
      </c>
      <c r="D13">
        <f t="shared" ref="D13:G13" si="14">D55</f>
        <v>247.51</v>
      </c>
      <c r="E13">
        <f t="shared" si="14"/>
        <v>230.44</v>
      </c>
      <c r="F13">
        <f t="shared" si="14"/>
        <v>256.04000000000002</v>
      </c>
      <c r="G13">
        <f t="shared" si="14"/>
        <v>256.04000000000002</v>
      </c>
      <c r="I13" s="41">
        <f t="shared" si="2"/>
        <v>236.47869</v>
      </c>
      <c r="J13" s="41">
        <f t="shared" si="3"/>
        <v>330.72286200000002</v>
      </c>
      <c r="K13" s="41">
        <f>E13*1.3919</f>
        <v>320.749436</v>
      </c>
      <c r="L13" s="41">
        <f>F13*1.4406</f>
        <v>368.85122400000006</v>
      </c>
      <c r="M13" s="41">
        <f t="shared" si="6"/>
        <v>342.12064800000002</v>
      </c>
    </row>
    <row r="14" spans="1:13">
      <c r="A14" t="s">
        <v>444</v>
      </c>
      <c r="C14">
        <f>C78+C79+C80+C81</f>
        <v>217.22</v>
      </c>
      <c r="D14">
        <f t="shared" ref="D14:G14" si="15">D78+D79+D80+D81</f>
        <v>649.92000000000007</v>
      </c>
      <c r="E14">
        <f t="shared" si="15"/>
        <v>649.42000000000007</v>
      </c>
      <c r="F14">
        <f t="shared" si="15"/>
        <v>636.90000000000009</v>
      </c>
      <c r="G14">
        <f t="shared" si="15"/>
        <v>663.47</v>
      </c>
      <c r="I14" s="41">
        <f t="shared" si="2"/>
        <v>227.75516999999999</v>
      </c>
      <c r="J14" s="41">
        <f t="shared" si="3"/>
        <v>868.42310400000008</v>
      </c>
      <c r="K14" s="41">
        <f t="shared" ref="K14:K16" si="16">E14*1.3919</f>
        <v>903.92769800000008</v>
      </c>
      <c r="L14" s="41">
        <f t="shared" ref="L14:L16" si="17">F14*1.4406</f>
        <v>917.51814000000024</v>
      </c>
      <c r="M14" s="41">
        <f t="shared" si="6"/>
        <v>886.52861400000006</v>
      </c>
    </row>
    <row r="15" spans="1:13">
      <c r="A15" t="s">
        <v>445</v>
      </c>
      <c r="I15" s="41">
        <f t="shared" si="2"/>
        <v>0</v>
      </c>
      <c r="J15" s="41">
        <f t="shared" si="3"/>
        <v>0</v>
      </c>
      <c r="K15" s="41">
        <f t="shared" si="16"/>
        <v>0</v>
      </c>
      <c r="L15" s="41">
        <f t="shared" si="17"/>
        <v>0</v>
      </c>
      <c r="M15" s="41">
        <f t="shared" si="6"/>
        <v>0</v>
      </c>
    </row>
    <row r="16" spans="1:13">
      <c r="A16" t="s">
        <v>446</v>
      </c>
      <c r="C16">
        <f>SUM(C13:C15)</f>
        <v>442.76</v>
      </c>
      <c r="D16">
        <f t="shared" ref="D16:G16" si="18">SUM(D13:D15)</f>
        <v>897.43000000000006</v>
      </c>
      <c r="E16">
        <f t="shared" si="18"/>
        <v>879.86000000000013</v>
      </c>
      <c r="F16">
        <f t="shared" si="18"/>
        <v>892.94</v>
      </c>
      <c r="G16">
        <f t="shared" si="18"/>
        <v>919.51</v>
      </c>
      <c r="I16" s="41">
        <f t="shared" si="2"/>
        <v>464.23385999999999</v>
      </c>
      <c r="J16" s="41">
        <f t="shared" si="3"/>
        <v>1199.145966</v>
      </c>
      <c r="K16" s="41">
        <f t="shared" si="16"/>
        <v>1224.677134</v>
      </c>
      <c r="L16" s="41">
        <f t="shared" si="17"/>
        <v>1286.3693640000001</v>
      </c>
      <c r="M16" s="41">
        <f t="shared" si="6"/>
        <v>1228.6492620000001</v>
      </c>
    </row>
    <row r="17" spans="1:13">
      <c r="I17" s="41"/>
      <c r="J17" s="41"/>
      <c r="K17" s="41"/>
      <c r="L17" s="41"/>
      <c r="M17" s="41"/>
    </row>
    <row r="18" spans="1:13">
      <c r="A18" t="s">
        <v>447</v>
      </c>
      <c r="C18" s="8">
        <f>C3+C8+C13</f>
        <v>4616.5199999999995</v>
      </c>
      <c r="D18" s="8">
        <f>D3+D8+D13</f>
        <v>2977.0800000000008</v>
      </c>
      <c r="E18" s="8">
        <f t="shared" ref="D18:G20" si="19">E3+E8+E13</f>
        <v>3411.45</v>
      </c>
      <c r="F18" s="8">
        <f t="shared" si="19"/>
        <v>2777.29</v>
      </c>
      <c r="G18" s="8">
        <f>G3+G8+G13</f>
        <v>2743.5</v>
      </c>
      <c r="I18" s="41">
        <f t="shared" si="2"/>
        <v>4840.4212199999993</v>
      </c>
      <c r="J18" s="41">
        <f t="shared" si="3"/>
        <v>3977.9742960000012</v>
      </c>
      <c r="K18" s="41">
        <f>E18*1.3919</f>
        <v>4748.3972549999999</v>
      </c>
      <c r="L18" s="41">
        <f>F18*1.4406</f>
        <v>4000.9639740000002</v>
      </c>
      <c r="M18" s="41">
        <f t="shared" si="6"/>
        <v>3665.8647000000001</v>
      </c>
    </row>
    <row r="19" spans="1:13">
      <c r="A19" t="s">
        <v>448</v>
      </c>
      <c r="C19" s="8">
        <f>C4+C9+C14</f>
        <v>1806.15</v>
      </c>
      <c r="D19" s="8">
        <f>D4+D9+D14</f>
        <v>4625.49</v>
      </c>
      <c r="E19" s="8">
        <f t="shared" si="19"/>
        <v>4318.3100000000004</v>
      </c>
      <c r="F19" s="8">
        <f t="shared" si="19"/>
        <v>4696.25</v>
      </c>
      <c r="G19" s="8">
        <f>G4+G9+G14</f>
        <v>4861.95</v>
      </c>
      <c r="I19" s="41">
        <f t="shared" si="2"/>
        <v>1893.7482750000001</v>
      </c>
      <c r="J19" s="41">
        <f t="shared" si="3"/>
        <v>6180.5797380000004</v>
      </c>
      <c r="K19" s="41">
        <f t="shared" ref="K19:K21" si="20">E19*1.3919</f>
        <v>6010.6556890000002</v>
      </c>
      <c r="L19" s="41">
        <f t="shared" ref="L19:L21" si="21">F19*1.4406</f>
        <v>6765.4177500000005</v>
      </c>
      <c r="M19" s="41">
        <f t="shared" si="6"/>
        <v>6496.5375899999999</v>
      </c>
    </row>
    <row r="20" spans="1:13">
      <c r="A20" t="s">
        <v>449</v>
      </c>
      <c r="C20" s="8">
        <f>C5+C10+C15</f>
        <v>210.16</v>
      </c>
      <c r="D20" s="8">
        <f t="shared" si="19"/>
        <v>165.08</v>
      </c>
      <c r="E20" s="8">
        <f t="shared" si="19"/>
        <v>171.61</v>
      </c>
      <c r="F20" s="8">
        <f t="shared" si="19"/>
        <v>163.72</v>
      </c>
      <c r="G20" s="8">
        <f t="shared" si="19"/>
        <v>159.91</v>
      </c>
      <c r="I20" s="41">
        <f t="shared" si="2"/>
        <v>220.35275999999999</v>
      </c>
      <c r="J20" s="41">
        <f t="shared" si="3"/>
        <v>220.57989600000002</v>
      </c>
      <c r="K20" s="41">
        <f t="shared" si="20"/>
        <v>238.86395899999999</v>
      </c>
      <c r="L20" s="41">
        <f t="shared" si="21"/>
        <v>235.85503200000002</v>
      </c>
      <c r="M20" s="41">
        <f t="shared" si="6"/>
        <v>213.67174199999999</v>
      </c>
    </row>
    <row r="21" spans="1:13">
      <c r="A21" t="s">
        <v>525</v>
      </c>
      <c r="C21" s="8">
        <f>SUM(C18:C20)</f>
        <v>6632.83</v>
      </c>
      <c r="D21" s="8">
        <f t="shared" ref="D21:F21" si="22">SUM(D18:D20)</f>
        <v>7767.6500000000005</v>
      </c>
      <c r="E21" s="8">
        <f t="shared" si="22"/>
        <v>7901.37</v>
      </c>
      <c r="F21" s="8">
        <f t="shared" si="22"/>
        <v>7637.26</v>
      </c>
      <c r="G21" s="8">
        <f>SUM(G18:G20)</f>
        <v>7765.36</v>
      </c>
      <c r="I21" s="41">
        <f t="shared" si="2"/>
        <v>6954.5222549999999</v>
      </c>
      <c r="J21" s="41">
        <f t="shared" si="3"/>
        <v>10379.133930000002</v>
      </c>
      <c r="K21" s="41">
        <f t="shared" si="20"/>
        <v>10997.916902999999</v>
      </c>
      <c r="L21" s="41">
        <f t="shared" si="21"/>
        <v>11002.236756</v>
      </c>
      <c r="M21" s="41">
        <f t="shared" si="6"/>
        <v>10376.074032</v>
      </c>
    </row>
    <row r="25" spans="1:13">
      <c r="A25" s="5" t="s">
        <v>199</v>
      </c>
    </row>
    <row r="26" spans="1:13">
      <c r="A26" s="1" t="s">
        <v>334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</row>
    <row r="27" spans="1:13">
      <c r="A27" s="72" t="s">
        <v>485</v>
      </c>
      <c r="B27" s="72"/>
      <c r="C27" s="72"/>
      <c r="D27" s="72"/>
      <c r="E27" s="72"/>
      <c r="F27" s="72"/>
      <c r="G27" s="72"/>
    </row>
    <row r="28" spans="1:13">
      <c r="A28" s="73" t="s">
        <v>486</v>
      </c>
      <c r="B28" s="73"/>
      <c r="C28" s="73"/>
      <c r="D28" s="73"/>
      <c r="E28" s="73"/>
      <c r="F28" s="73"/>
      <c r="G28" s="73"/>
    </row>
    <row r="29" spans="1:13">
      <c r="A29" s="1" t="s">
        <v>279</v>
      </c>
      <c r="B29" s="1" t="s">
        <v>488</v>
      </c>
      <c r="C29" s="1">
        <v>14.47</v>
      </c>
      <c r="D29" s="1"/>
      <c r="E29" s="1"/>
      <c r="F29" s="1"/>
      <c r="G29" s="1"/>
      <c r="H29" s="27" t="s">
        <v>501</v>
      </c>
    </row>
    <row r="30" spans="1:13">
      <c r="A30" s="73" t="s">
        <v>361</v>
      </c>
      <c r="B30" s="73"/>
      <c r="C30" s="73"/>
      <c r="D30" s="73"/>
      <c r="E30" s="73"/>
      <c r="F30" s="73"/>
      <c r="G30" s="73"/>
    </row>
    <row r="31" spans="1:13">
      <c r="A31" s="1" t="s">
        <v>280</v>
      </c>
      <c r="B31" s="1" t="s">
        <v>281</v>
      </c>
      <c r="C31" s="1">
        <v>3824.33</v>
      </c>
      <c r="D31" s="1">
        <v>1953.69</v>
      </c>
      <c r="E31" s="1">
        <v>2332.3200000000002</v>
      </c>
      <c r="F31" s="1">
        <v>1781.27</v>
      </c>
      <c r="G31" s="1">
        <v>1747.48</v>
      </c>
    </row>
    <row r="32" spans="1:13">
      <c r="A32" s="1" t="s">
        <v>282</v>
      </c>
      <c r="B32" s="1" t="s">
        <v>281</v>
      </c>
      <c r="C32" s="1"/>
      <c r="D32" s="1"/>
      <c r="E32" s="1"/>
      <c r="F32" s="1"/>
      <c r="G32" s="1"/>
      <c r="H32" s="27" t="s">
        <v>501</v>
      </c>
    </row>
    <row r="33" spans="1:8">
      <c r="A33" s="1" t="s">
        <v>283</v>
      </c>
      <c r="B33" s="1" t="s">
        <v>284</v>
      </c>
      <c r="C33" s="1"/>
      <c r="D33" s="1"/>
      <c r="E33" s="1"/>
      <c r="F33" s="1"/>
      <c r="G33" s="1"/>
      <c r="H33" s="27" t="s">
        <v>501</v>
      </c>
    </row>
    <row r="34" spans="1:8">
      <c r="A34" s="73" t="s">
        <v>238</v>
      </c>
      <c r="B34" s="73"/>
      <c r="C34" s="73"/>
      <c r="D34" s="73"/>
      <c r="E34" s="73"/>
      <c r="F34" s="73"/>
      <c r="G34" s="73"/>
    </row>
    <row r="35" spans="1:8">
      <c r="A35" s="1" t="s">
        <v>285</v>
      </c>
      <c r="B35" s="1" t="s">
        <v>488</v>
      </c>
      <c r="C35" s="1">
        <v>6.09</v>
      </c>
      <c r="D35" s="1">
        <v>8.9</v>
      </c>
      <c r="E35" s="1">
        <v>8.2899999999999991</v>
      </c>
      <c r="F35" s="1">
        <v>9.2100000000000009</v>
      </c>
      <c r="G35" s="1">
        <v>9.2100000000000009</v>
      </c>
    </row>
    <row r="36" spans="1:8">
      <c r="A36" s="73" t="s">
        <v>388</v>
      </c>
      <c r="B36" s="73"/>
      <c r="C36" s="73"/>
      <c r="D36" s="73"/>
      <c r="E36" s="73"/>
      <c r="F36" s="73"/>
      <c r="G36" s="73"/>
    </row>
    <row r="37" spans="1:8">
      <c r="A37" s="1" t="s">
        <v>221</v>
      </c>
      <c r="B37" s="1" t="s">
        <v>281</v>
      </c>
      <c r="C37" s="1">
        <v>100.42</v>
      </c>
      <c r="D37" s="1">
        <v>320.95999999999998</v>
      </c>
      <c r="E37" s="1">
        <v>410.45</v>
      </c>
      <c r="F37" s="1">
        <v>276.22000000000003</v>
      </c>
      <c r="G37" s="1">
        <v>276.22000000000003</v>
      </c>
    </row>
    <row r="38" spans="1:8">
      <c r="A38" s="1" t="s">
        <v>222</v>
      </c>
      <c r="B38" s="1" t="s">
        <v>223</v>
      </c>
      <c r="C38" s="1">
        <v>185.46</v>
      </c>
      <c r="D38" s="1">
        <v>198.51</v>
      </c>
      <c r="E38" s="1">
        <v>198.51</v>
      </c>
      <c r="F38" s="1">
        <v>198.51</v>
      </c>
      <c r="G38" s="1">
        <v>198.51</v>
      </c>
    </row>
    <row r="39" spans="1:8">
      <c r="A39" s="73" t="s">
        <v>224</v>
      </c>
      <c r="B39" s="73"/>
      <c r="C39" s="73"/>
      <c r="D39" s="73"/>
      <c r="E39" s="73"/>
      <c r="F39" s="73"/>
      <c r="G39" s="73"/>
    </row>
    <row r="40" spans="1:8">
      <c r="A40" s="1" t="s">
        <v>225</v>
      </c>
      <c r="B40" s="1" t="s">
        <v>488</v>
      </c>
      <c r="C40" s="1">
        <v>34.67</v>
      </c>
      <c r="D40" s="1"/>
      <c r="E40" s="1">
        <v>1</v>
      </c>
      <c r="F40" s="1"/>
      <c r="G40" s="1"/>
      <c r="H40" s="27" t="s">
        <v>501</v>
      </c>
    </row>
    <row r="41" spans="1:8">
      <c r="A41" s="72" t="s">
        <v>434</v>
      </c>
      <c r="B41" s="72"/>
      <c r="C41" s="72"/>
      <c r="D41" s="72"/>
      <c r="E41" s="72"/>
      <c r="F41" s="72"/>
      <c r="G41" s="72"/>
    </row>
    <row r="42" spans="1:8">
      <c r="A42" s="73" t="s">
        <v>435</v>
      </c>
      <c r="B42" s="73"/>
      <c r="C42" s="73"/>
      <c r="D42" s="73"/>
      <c r="E42" s="73"/>
      <c r="F42" s="73"/>
      <c r="G42" s="73"/>
    </row>
    <row r="43" spans="1:8">
      <c r="A43" s="1" t="s">
        <v>226</v>
      </c>
      <c r="B43" s="1" t="s">
        <v>488</v>
      </c>
      <c r="C43" s="1">
        <v>654.15</v>
      </c>
      <c r="D43" s="1">
        <v>2266.33</v>
      </c>
      <c r="E43" s="1">
        <v>2196</v>
      </c>
      <c r="F43" s="1">
        <v>2303</v>
      </c>
      <c r="G43" s="1">
        <v>2300</v>
      </c>
    </row>
    <row r="44" spans="1:8">
      <c r="A44" s="1" t="s">
        <v>227</v>
      </c>
      <c r="B44" s="1" t="s">
        <v>488</v>
      </c>
      <c r="C44" s="1"/>
      <c r="D44" s="1">
        <v>204.64</v>
      </c>
      <c r="E44" s="1">
        <v>204.17</v>
      </c>
      <c r="F44" s="1">
        <v>204.17</v>
      </c>
      <c r="G44" s="1">
        <v>205.56</v>
      </c>
      <c r="H44" s="27" t="s">
        <v>502</v>
      </c>
    </row>
    <row r="45" spans="1:8">
      <c r="A45" s="72" t="s">
        <v>347</v>
      </c>
      <c r="B45" s="72"/>
      <c r="C45" s="72"/>
      <c r="D45" s="72"/>
      <c r="E45" s="72"/>
      <c r="F45" s="72"/>
      <c r="G45" s="72"/>
    </row>
    <row r="46" spans="1:8">
      <c r="A46" s="1" t="s">
        <v>158</v>
      </c>
      <c r="B46" s="1" t="s">
        <v>281</v>
      </c>
      <c r="C46" s="1">
        <v>180.38</v>
      </c>
      <c r="D46" s="1">
        <v>165.08</v>
      </c>
      <c r="E46" s="1">
        <v>171.61</v>
      </c>
      <c r="F46" s="1">
        <v>163.72</v>
      </c>
      <c r="G46" s="1">
        <v>159.91</v>
      </c>
    </row>
    <row r="47" spans="1:8">
      <c r="A47" s="1" t="s">
        <v>159</v>
      </c>
      <c r="B47" s="1" t="s">
        <v>488</v>
      </c>
      <c r="C47" s="1">
        <v>22.1</v>
      </c>
      <c r="D47" s="1"/>
      <c r="E47" s="1"/>
      <c r="F47" s="1"/>
      <c r="G47" s="1"/>
      <c r="H47" s="27" t="s">
        <v>501</v>
      </c>
    </row>
    <row r="48" spans="1:8">
      <c r="A48" s="1" t="s">
        <v>160</v>
      </c>
      <c r="B48" s="1" t="s">
        <v>284</v>
      </c>
      <c r="C48" s="1">
        <v>7.68</v>
      </c>
      <c r="D48" s="1"/>
      <c r="E48" s="1"/>
      <c r="F48" s="1"/>
      <c r="G48" s="1"/>
      <c r="H48" s="27" t="s">
        <v>503</v>
      </c>
    </row>
    <row r="51" spans="1:8">
      <c r="A51" s="13" t="s">
        <v>236</v>
      </c>
    </row>
    <row r="52" spans="1:8" ht="15">
      <c r="A52" s="1" t="s">
        <v>334</v>
      </c>
      <c r="B52" s="1" t="s">
        <v>481</v>
      </c>
      <c r="C52" s="1" t="s">
        <v>482</v>
      </c>
      <c r="D52" s="1" t="s">
        <v>483</v>
      </c>
      <c r="E52" s="1">
        <v>2008</v>
      </c>
      <c r="F52" s="1">
        <v>2009</v>
      </c>
      <c r="G52" s="1" t="s">
        <v>484</v>
      </c>
      <c r="H52" s="29"/>
    </row>
    <row r="53" spans="1:8">
      <c r="A53" s="28" t="s">
        <v>485</v>
      </c>
      <c r="B53" s="28"/>
      <c r="C53" s="28"/>
      <c r="D53" s="28"/>
      <c r="E53" s="28"/>
      <c r="F53" s="28"/>
      <c r="G53" s="28"/>
      <c r="H53" s="28"/>
    </row>
    <row r="54" spans="1:8">
      <c r="A54" s="27" t="s">
        <v>238</v>
      </c>
      <c r="B54" s="27"/>
      <c r="C54" s="27"/>
      <c r="D54" s="27"/>
      <c r="E54" s="27"/>
      <c r="F54" s="27"/>
      <c r="G54" s="27"/>
      <c r="H54" s="27"/>
    </row>
    <row r="55" spans="1:8" ht="15">
      <c r="A55" s="1" t="s">
        <v>285</v>
      </c>
      <c r="B55" s="1" t="s">
        <v>488</v>
      </c>
      <c r="C55" s="1">
        <v>225.54</v>
      </c>
      <c r="D55" s="1">
        <v>247.51</v>
      </c>
      <c r="E55" s="1">
        <v>230.44</v>
      </c>
      <c r="F55" s="1">
        <v>256.04000000000002</v>
      </c>
      <c r="G55" s="1">
        <v>256.04000000000002</v>
      </c>
      <c r="H55" s="29"/>
    </row>
    <row r="56" spans="1:8">
      <c r="A56" s="28" t="s">
        <v>434</v>
      </c>
      <c r="B56" s="28"/>
      <c r="C56" s="28"/>
      <c r="D56" s="28"/>
      <c r="E56" s="28"/>
      <c r="F56" s="28"/>
      <c r="G56" s="28"/>
      <c r="H56" s="28"/>
    </row>
    <row r="57" spans="1:8">
      <c r="A57" s="27" t="s">
        <v>435</v>
      </c>
      <c r="B57" s="27"/>
      <c r="C57" s="27"/>
      <c r="D57" s="27"/>
      <c r="E57" s="27"/>
      <c r="F57" s="27"/>
      <c r="G57" s="27"/>
      <c r="H57" s="27"/>
    </row>
    <row r="58" spans="1:8" ht="15">
      <c r="A58" s="1" t="s">
        <v>161</v>
      </c>
      <c r="B58" s="1" t="s">
        <v>488</v>
      </c>
      <c r="C58" s="1">
        <v>24.44</v>
      </c>
      <c r="D58" s="1">
        <v>33.36</v>
      </c>
      <c r="E58" s="1">
        <v>33.19</v>
      </c>
      <c r="F58" s="1">
        <v>33.4</v>
      </c>
      <c r="G58" s="1">
        <v>33.5</v>
      </c>
      <c r="H58" s="29"/>
    </row>
    <row r="59" spans="1:8" ht="15">
      <c r="A59" s="1" t="s">
        <v>162</v>
      </c>
      <c r="B59" s="1" t="s">
        <v>488</v>
      </c>
      <c r="C59" s="1">
        <v>2.0499999999999998</v>
      </c>
      <c r="D59" s="1">
        <v>16.89</v>
      </c>
      <c r="E59" s="1">
        <v>17.07</v>
      </c>
      <c r="F59" s="1">
        <v>15.38</v>
      </c>
      <c r="G59" s="1">
        <v>18.23</v>
      </c>
      <c r="H59" s="29"/>
    </row>
    <row r="60" spans="1:8" ht="15">
      <c r="A60" s="1" t="s">
        <v>226</v>
      </c>
      <c r="B60" s="1" t="s">
        <v>488</v>
      </c>
      <c r="C60" s="1">
        <v>6.14</v>
      </c>
      <c r="D60" s="1">
        <v>0</v>
      </c>
      <c r="E60" s="1">
        <v>0</v>
      </c>
      <c r="F60" s="1">
        <v>0</v>
      </c>
      <c r="G60" s="1">
        <v>0</v>
      </c>
      <c r="H60" s="29"/>
    </row>
    <row r="61" spans="1:8">
      <c r="A61" s="1" t="s">
        <v>227</v>
      </c>
      <c r="B61" s="1" t="s">
        <v>488</v>
      </c>
      <c r="C61" s="1"/>
      <c r="D61" s="1">
        <v>142.91999999999999</v>
      </c>
      <c r="E61" s="1">
        <v>142.59</v>
      </c>
      <c r="F61" s="1">
        <v>142.59</v>
      </c>
      <c r="G61" s="1">
        <v>143.57</v>
      </c>
      <c r="H61" s="27" t="s">
        <v>502</v>
      </c>
    </row>
    <row r="62" spans="1:8" ht="15">
      <c r="A62" s="1" t="s">
        <v>163</v>
      </c>
      <c r="B62" s="1" t="s">
        <v>488</v>
      </c>
      <c r="C62" s="1">
        <v>357.33</v>
      </c>
      <c r="D62" s="1">
        <v>660</v>
      </c>
      <c r="E62" s="1">
        <v>640</v>
      </c>
      <c r="F62" s="1">
        <v>660</v>
      </c>
      <c r="G62" s="1">
        <v>680</v>
      </c>
      <c r="H62" s="29"/>
    </row>
    <row r="63" spans="1:8" ht="22">
      <c r="A63" s="1" t="s">
        <v>164</v>
      </c>
      <c r="B63" s="1" t="s">
        <v>488</v>
      </c>
      <c r="C63" s="1">
        <v>195</v>
      </c>
      <c r="D63" s="1">
        <v>147</v>
      </c>
      <c r="E63" s="1">
        <v>118</v>
      </c>
      <c r="F63" s="1">
        <v>157</v>
      </c>
      <c r="G63" s="1">
        <v>166</v>
      </c>
      <c r="H63" s="29"/>
    </row>
    <row r="64" spans="1:8" ht="15">
      <c r="A64" s="1" t="s">
        <v>165</v>
      </c>
      <c r="B64" s="1" t="s">
        <v>488</v>
      </c>
      <c r="C64" s="1">
        <v>31.45</v>
      </c>
      <c r="D64" s="1">
        <v>64.430000000000007</v>
      </c>
      <c r="E64" s="1">
        <v>62.87</v>
      </c>
      <c r="F64" s="1">
        <v>63.81</v>
      </c>
      <c r="G64" s="1">
        <v>66.62</v>
      </c>
      <c r="H64" s="29"/>
    </row>
    <row r="65" spans="1:8" ht="15">
      <c r="A65" s="1" t="s">
        <v>233</v>
      </c>
      <c r="B65" s="1" t="s">
        <v>488</v>
      </c>
      <c r="C65" s="1">
        <v>20</v>
      </c>
      <c r="D65" s="1">
        <v>156.66999999999999</v>
      </c>
      <c r="E65" s="1">
        <v>120</v>
      </c>
      <c r="F65" s="1">
        <v>160</v>
      </c>
      <c r="G65" s="1">
        <v>190</v>
      </c>
      <c r="H65" s="29"/>
    </row>
    <row r="66" spans="1:8" ht="15">
      <c r="A66" s="1" t="s">
        <v>234</v>
      </c>
      <c r="B66" s="1" t="s">
        <v>488</v>
      </c>
      <c r="C66" s="1">
        <v>298.37</v>
      </c>
      <c r="D66" s="1">
        <v>283.33</v>
      </c>
      <c r="E66" s="1">
        <v>135</v>
      </c>
      <c r="F66" s="1">
        <v>320</v>
      </c>
      <c r="G66" s="1">
        <v>395</v>
      </c>
      <c r="H66" s="29"/>
    </row>
    <row r="67" spans="1:8">
      <c r="A67" s="1" t="s">
        <v>235</v>
      </c>
      <c r="B67" s="1" t="s">
        <v>488</v>
      </c>
      <c r="C67" s="1"/>
      <c r="D67" s="1"/>
      <c r="E67" s="1"/>
      <c r="F67" s="1"/>
      <c r="G67" s="1"/>
      <c r="H67" s="27" t="s">
        <v>501</v>
      </c>
    </row>
    <row r="68" spans="1:8">
      <c r="A68" s="28" t="s">
        <v>349</v>
      </c>
      <c r="B68" s="28"/>
      <c r="C68" s="28"/>
      <c r="D68" s="28"/>
      <c r="E68" s="28"/>
      <c r="F68" s="28"/>
      <c r="G68" s="28"/>
      <c r="H68" s="28"/>
    </row>
    <row r="71" spans="1:8">
      <c r="A71" s="5" t="s">
        <v>237</v>
      </c>
    </row>
    <row r="72" spans="1:8">
      <c r="A72" s="1" t="s">
        <v>334</v>
      </c>
      <c r="B72" s="1" t="s">
        <v>481</v>
      </c>
      <c r="C72" s="1" t="s">
        <v>482</v>
      </c>
      <c r="D72" s="1" t="s">
        <v>483</v>
      </c>
      <c r="E72" s="1">
        <v>2008</v>
      </c>
      <c r="F72" s="1">
        <v>2009</v>
      </c>
      <c r="G72" s="1" t="s">
        <v>484</v>
      </c>
    </row>
    <row r="73" spans="1:8">
      <c r="A73" s="72" t="s">
        <v>485</v>
      </c>
      <c r="B73" s="72"/>
      <c r="C73" s="72"/>
      <c r="D73" s="72"/>
      <c r="E73" s="72"/>
      <c r="F73" s="72"/>
      <c r="G73" s="72"/>
    </row>
    <row r="74" spans="1:8">
      <c r="A74" s="73" t="s">
        <v>238</v>
      </c>
      <c r="B74" s="73"/>
      <c r="C74" s="73"/>
      <c r="D74" s="73"/>
      <c r="E74" s="73"/>
      <c r="F74" s="73"/>
      <c r="G74" s="73"/>
    </row>
    <row r="75" spans="1:8">
      <c r="A75" s="1" t="s">
        <v>285</v>
      </c>
      <c r="B75" s="1" t="s">
        <v>488</v>
      </c>
      <c r="C75" s="1">
        <v>7.83</v>
      </c>
      <c r="D75" s="1">
        <v>13.06</v>
      </c>
      <c r="E75" s="1">
        <v>12.16</v>
      </c>
      <c r="F75" s="1">
        <v>13.51</v>
      </c>
      <c r="G75" s="1">
        <v>13.51</v>
      </c>
    </row>
    <row r="76" spans="1:8">
      <c r="A76" s="72" t="s">
        <v>434</v>
      </c>
      <c r="B76" s="72"/>
      <c r="C76" s="72"/>
      <c r="D76" s="72"/>
      <c r="E76" s="72"/>
      <c r="F76" s="72"/>
      <c r="G76" s="72"/>
    </row>
    <row r="77" spans="1:8">
      <c r="A77" s="73" t="s">
        <v>435</v>
      </c>
      <c r="B77" s="73"/>
      <c r="C77" s="73"/>
      <c r="D77" s="73"/>
      <c r="E77" s="73"/>
      <c r="F77" s="73"/>
      <c r="G77" s="73"/>
    </row>
    <row r="78" spans="1:8">
      <c r="A78" s="1" t="s">
        <v>161</v>
      </c>
      <c r="B78" s="1" t="s">
        <v>488</v>
      </c>
      <c r="C78" s="1">
        <v>153.36000000000001</v>
      </c>
      <c r="D78" s="1">
        <v>283.3</v>
      </c>
      <c r="E78" s="1">
        <v>281.81</v>
      </c>
      <c r="F78" s="1">
        <v>283.60000000000002</v>
      </c>
      <c r="G78" s="1">
        <v>284.5</v>
      </c>
    </row>
    <row r="79" spans="1:8">
      <c r="A79" s="1" t="s">
        <v>162</v>
      </c>
      <c r="B79" s="1" t="s">
        <v>488</v>
      </c>
      <c r="C79" s="1">
        <v>12.95</v>
      </c>
      <c r="D79" s="1">
        <v>143.44</v>
      </c>
      <c r="E79" s="1">
        <v>144.93</v>
      </c>
      <c r="F79" s="1">
        <v>130.62</v>
      </c>
      <c r="G79" s="1">
        <v>154.77000000000001</v>
      </c>
    </row>
    <row r="80" spans="1:8">
      <c r="A80" s="1" t="s">
        <v>226</v>
      </c>
      <c r="B80" s="1" t="s">
        <v>488</v>
      </c>
      <c r="C80" s="1">
        <v>50.91</v>
      </c>
      <c r="D80" s="1">
        <v>0</v>
      </c>
      <c r="E80" s="1">
        <v>0</v>
      </c>
      <c r="F80" s="1">
        <v>0</v>
      </c>
      <c r="G80" s="1">
        <v>0</v>
      </c>
    </row>
    <row r="81" spans="1:8">
      <c r="A81" s="1" t="s">
        <v>227</v>
      </c>
      <c r="B81" s="1" t="s">
        <v>488</v>
      </c>
      <c r="C81" s="1"/>
      <c r="D81" s="1">
        <v>223.18</v>
      </c>
      <c r="E81" s="1">
        <v>222.68</v>
      </c>
      <c r="F81" s="1">
        <v>222.68</v>
      </c>
      <c r="G81" s="1">
        <v>224.2</v>
      </c>
      <c r="H81" s="27" t="s">
        <v>502</v>
      </c>
    </row>
    <row r="82" spans="1:8">
      <c r="A82" s="72" t="s">
        <v>349</v>
      </c>
      <c r="B82" s="72"/>
      <c r="C82" s="72"/>
      <c r="D82" s="72"/>
      <c r="E82" s="72"/>
      <c r="F82" s="72"/>
      <c r="G82" s="72"/>
    </row>
  </sheetData>
  <mergeCells count="15">
    <mergeCell ref="I1:J1"/>
    <mergeCell ref="A27:G27"/>
    <mergeCell ref="A28:G28"/>
    <mergeCell ref="A30:G30"/>
    <mergeCell ref="A34:G34"/>
    <mergeCell ref="A36:G36"/>
    <mergeCell ref="A39:G39"/>
    <mergeCell ref="A41:G41"/>
    <mergeCell ref="A42:G42"/>
    <mergeCell ref="A45:G45"/>
    <mergeCell ref="A82:G82"/>
    <mergeCell ref="A73:G73"/>
    <mergeCell ref="A74:G74"/>
    <mergeCell ref="A76:G76"/>
    <mergeCell ref="A77:G77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C1" workbookViewId="0">
      <selection activeCell="N17" sqref="N17"/>
    </sheetView>
  </sheetViews>
  <sheetFormatPr baseColWidth="10" defaultRowHeight="13" x14ac:dyDescent="0"/>
  <cols>
    <col min="1" max="1" width="27.5703125" customWidth="1"/>
    <col min="8" max="8" width="10.7109375" style="16"/>
  </cols>
  <sheetData>
    <row r="1" spans="1:13">
      <c r="A1" s="26" t="s">
        <v>409</v>
      </c>
      <c r="I1" s="74" t="s">
        <v>461</v>
      </c>
      <c r="J1" s="74"/>
    </row>
    <row r="2" spans="1:13">
      <c r="C2" s="25" t="s">
        <v>482</v>
      </c>
      <c r="D2" s="25" t="s">
        <v>483</v>
      </c>
      <c r="E2" s="25">
        <v>2008</v>
      </c>
      <c r="F2" s="25">
        <v>2009</v>
      </c>
      <c r="G2" s="25" t="s">
        <v>484</v>
      </c>
      <c r="I2" s="25" t="s">
        <v>392</v>
      </c>
      <c r="J2" s="25" t="s">
        <v>393</v>
      </c>
      <c r="K2" s="25">
        <v>2008</v>
      </c>
      <c r="L2" s="25">
        <v>2009</v>
      </c>
      <c r="M2" s="25" t="s">
        <v>394</v>
      </c>
    </row>
    <row r="3" spans="1:13">
      <c r="A3" t="s">
        <v>531</v>
      </c>
      <c r="C3">
        <f>C29</f>
        <v>0</v>
      </c>
      <c r="D3">
        <f t="shared" ref="D3:G3" si="0">D29</f>
        <v>9266.67</v>
      </c>
      <c r="E3">
        <f t="shared" si="0"/>
        <v>10000</v>
      </c>
      <c r="F3">
        <f t="shared" si="0"/>
        <v>8900</v>
      </c>
      <c r="G3">
        <f t="shared" si="0"/>
        <v>8900</v>
      </c>
      <c r="I3" s="48">
        <f>C3*0.00444267</f>
        <v>0</v>
      </c>
      <c r="J3" s="48">
        <f>D3*0.00480735</f>
        <v>44.5481260245</v>
      </c>
      <c r="K3" s="48">
        <f>E3*0.00521823</f>
        <v>52.182299999999998</v>
      </c>
      <c r="L3" s="48">
        <f>F3*0.00532728</f>
        <v>47.412792000000003</v>
      </c>
      <c r="M3" s="48">
        <f>G3*0.00480735</f>
        <v>42.785415</v>
      </c>
    </row>
    <row r="4" spans="1:13">
      <c r="A4" t="s">
        <v>436</v>
      </c>
      <c r="C4">
        <f>C32+C33</f>
        <v>0</v>
      </c>
      <c r="D4">
        <f t="shared" ref="D4:G4" si="1">D32+D33</f>
        <v>1477.25</v>
      </c>
      <c r="E4">
        <f t="shared" si="1"/>
        <v>0</v>
      </c>
      <c r="F4">
        <f t="shared" si="1"/>
        <v>443.17</v>
      </c>
      <c r="G4">
        <f t="shared" si="1"/>
        <v>7445.34</v>
      </c>
      <c r="I4" s="48">
        <f t="shared" ref="I4:I21" si="2">C4*0.00444267</f>
        <v>0</v>
      </c>
      <c r="J4" s="48">
        <f t="shared" ref="J4:J21" si="3">D4*0.00480735</f>
        <v>7.1016577875000007</v>
      </c>
      <c r="K4" s="48">
        <f t="shared" ref="K4:K21" si="4">E4*0.00521823</f>
        <v>0</v>
      </c>
      <c r="L4" s="48">
        <f t="shared" ref="L4:L21" si="5">F4*0.00532728</f>
        <v>2.3608906776</v>
      </c>
      <c r="M4" s="48">
        <f t="shared" ref="M4:M21" si="6">G4*0.00480735</f>
        <v>35.792355249000003</v>
      </c>
    </row>
    <row r="5" spans="1:13">
      <c r="A5" t="s">
        <v>437</v>
      </c>
      <c r="I5" s="48">
        <f t="shared" si="2"/>
        <v>0</v>
      </c>
      <c r="J5" s="48">
        <f t="shared" si="3"/>
        <v>0</v>
      </c>
      <c r="K5" s="48">
        <f t="shared" si="4"/>
        <v>0</v>
      </c>
      <c r="L5" s="48">
        <f t="shared" si="5"/>
        <v>0</v>
      </c>
      <c r="M5" s="48">
        <f t="shared" si="6"/>
        <v>0</v>
      </c>
    </row>
    <row r="6" spans="1:13">
      <c r="A6" t="s">
        <v>438</v>
      </c>
      <c r="C6">
        <f>SUM(C3:C5)</f>
        <v>0</v>
      </c>
      <c r="D6">
        <f t="shared" ref="D6:G6" si="7">SUM(D3:D5)</f>
        <v>10743.92</v>
      </c>
      <c r="E6">
        <f t="shared" si="7"/>
        <v>10000</v>
      </c>
      <c r="F6">
        <f t="shared" si="7"/>
        <v>9343.17</v>
      </c>
      <c r="G6">
        <f t="shared" si="7"/>
        <v>16345.34</v>
      </c>
      <c r="I6" s="48">
        <f t="shared" si="2"/>
        <v>0</v>
      </c>
      <c r="J6" s="48">
        <f t="shared" si="3"/>
        <v>51.649783812000003</v>
      </c>
      <c r="K6" s="48">
        <f t="shared" si="4"/>
        <v>52.182299999999998</v>
      </c>
      <c r="L6" s="48">
        <f t="shared" si="5"/>
        <v>49.7736826776</v>
      </c>
      <c r="M6" s="48">
        <f t="shared" si="6"/>
        <v>78.577770248999997</v>
      </c>
    </row>
    <row r="7" spans="1:13">
      <c r="I7" s="48"/>
      <c r="J7" s="48"/>
      <c r="K7" s="48"/>
      <c r="L7" s="48"/>
      <c r="M7" s="48"/>
    </row>
    <row r="8" spans="1:13">
      <c r="A8" t="s">
        <v>439</v>
      </c>
      <c r="I8" s="48">
        <f t="shared" si="2"/>
        <v>0</v>
      </c>
      <c r="J8" s="48">
        <f t="shared" si="3"/>
        <v>0</v>
      </c>
      <c r="K8" s="48">
        <f t="shared" si="4"/>
        <v>0</v>
      </c>
      <c r="L8" s="48">
        <f t="shared" si="5"/>
        <v>0</v>
      </c>
      <c r="M8" s="48">
        <f t="shared" si="6"/>
        <v>0</v>
      </c>
    </row>
    <row r="9" spans="1:13">
      <c r="A9" t="s">
        <v>440</v>
      </c>
      <c r="C9">
        <f>C42+C43+C44+C45</f>
        <v>16313</v>
      </c>
      <c r="D9">
        <f t="shared" ref="D9:G9" si="8">D42+D43+D44+D45</f>
        <v>28219</v>
      </c>
      <c r="E9">
        <f t="shared" si="8"/>
        <v>24601</v>
      </c>
      <c r="F9">
        <f t="shared" si="8"/>
        <v>28720.400000000001</v>
      </c>
      <c r="G9">
        <f t="shared" si="8"/>
        <v>33327.69</v>
      </c>
      <c r="I9" s="48">
        <f t="shared" si="2"/>
        <v>72.473275709999996</v>
      </c>
      <c r="J9" s="48">
        <f t="shared" si="3"/>
        <v>135.65860965000002</v>
      </c>
      <c r="K9" s="48">
        <f t="shared" si="4"/>
        <v>128.37367623</v>
      </c>
      <c r="L9" s="48">
        <f t="shared" si="5"/>
        <v>153.00161251200001</v>
      </c>
      <c r="M9" s="48">
        <f t="shared" si="6"/>
        <v>160.2178705215</v>
      </c>
    </row>
    <row r="10" spans="1:13">
      <c r="A10" t="s">
        <v>441</v>
      </c>
      <c r="I10" s="48">
        <f t="shared" si="2"/>
        <v>0</v>
      </c>
      <c r="J10" s="48">
        <f t="shared" si="3"/>
        <v>0</v>
      </c>
      <c r="K10" s="48">
        <f t="shared" si="4"/>
        <v>0</v>
      </c>
      <c r="L10" s="48">
        <f t="shared" si="5"/>
        <v>0</v>
      </c>
      <c r="M10" s="48">
        <f t="shared" si="6"/>
        <v>0</v>
      </c>
    </row>
    <row r="11" spans="1:13">
      <c r="A11" t="s">
        <v>442</v>
      </c>
      <c r="C11">
        <f>SUM(C8:C10)</f>
        <v>16313</v>
      </c>
      <c r="D11">
        <f t="shared" ref="D11:G11" si="9">SUM(D8:D10)</f>
        <v>28219</v>
      </c>
      <c r="E11">
        <f t="shared" si="9"/>
        <v>24601</v>
      </c>
      <c r="F11">
        <f t="shared" si="9"/>
        <v>28720.400000000001</v>
      </c>
      <c r="G11">
        <f t="shared" si="9"/>
        <v>33327.69</v>
      </c>
      <c r="I11" s="48">
        <f t="shared" si="2"/>
        <v>72.473275709999996</v>
      </c>
      <c r="J11" s="48">
        <f t="shared" si="3"/>
        <v>135.65860965000002</v>
      </c>
      <c r="K11" s="48">
        <f t="shared" si="4"/>
        <v>128.37367623</v>
      </c>
      <c r="L11" s="48">
        <f t="shared" si="5"/>
        <v>153.00161251200001</v>
      </c>
      <c r="M11" s="48">
        <f t="shared" si="6"/>
        <v>160.2178705215</v>
      </c>
    </row>
    <row r="12" spans="1:13">
      <c r="I12" s="48"/>
      <c r="J12" s="48"/>
      <c r="K12" s="48"/>
      <c r="L12" s="48"/>
      <c r="M12" s="48"/>
    </row>
    <row r="13" spans="1:13">
      <c r="A13" t="s">
        <v>443</v>
      </c>
      <c r="I13" s="48">
        <f t="shared" si="2"/>
        <v>0</v>
      </c>
      <c r="J13" s="48">
        <f t="shared" si="3"/>
        <v>0</v>
      </c>
      <c r="K13" s="48">
        <f t="shared" si="4"/>
        <v>0</v>
      </c>
      <c r="L13" s="48">
        <f t="shared" si="5"/>
        <v>0</v>
      </c>
      <c r="M13" s="48">
        <f t="shared" si="6"/>
        <v>0</v>
      </c>
    </row>
    <row r="14" spans="1:13">
      <c r="A14" t="s">
        <v>444</v>
      </c>
      <c r="C14">
        <f>C54+C55</f>
        <v>0</v>
      </c>
      <c r="D14">
        <f t="shared" ref="D14:G14" si="10">D54+D55</f>
        <v>53780.54</v>
      </c>
      <c r="E14">
        <f t="shared" si="10"/>
        <v>82000</v>
      </c>
      <c r="F14">
        <f t="shared" si="10"/>
        <v>63734.16</v>
      </c>
      <c r="G14">
        <f t="shared" si="10"/>
        <v>29133.940000000002</v>
      </c>
      <c r="I14" s="48">
        <f t="shared" si="2"/>
        <v>0</v>
      </c>
      <c r="J14" s="48">
        <f t="shared" si="3"/>
        <v>258.54187896900004</v>
      </c>
      <c r="K14" s="48">
        <f t="shared" si="4"/>
        <v>427.89485999999999</v>
      </c>
      <c r="L14" s="48">
        <f t="shared" si="5"/>
        <v>339.52971588480005</v>
      </c>
      <c r="M14" s="48">
        <f t="shared" si="6"/>
        <v>140.05704645900002</v>
      </c>
    </row>
    <row r="15" spans="1:13">
      <c r="A15" t="s">
        <v>445</v>
      </c>
      <c r="I15" s="48">
        <f t="shared" si="2"/>
        <v>0</v>
      </c>
      <c r="J15" s="48">
        <f t="shared" si="3"/>
        <v>0</v>
      </c>
      <c r="K15" s="48">
        <f t="shared" si="4"/>
        <v>0</v>
      </c>
      <c r="L15" s="48">
        <f t="shared" si="5"/>
        <v>0</v>
      </c>
      <c r="M15" s="48">
        <f t="shared" si="6"/>
        <v>0</v>
      </c>
    </row>
    <row r="16" spans="1:13">
      <c r="A16" t="s">
        <v>446</v>
      </c>
      <c r="C16">
        <f>SUM(C13:C15)</f>
        <v>0</v>
      </c>
      <c r="D16">
        <f t="shared" ref="D16:G16" si="11">SUM(D13:D15)</f>
        <v>53780.54</v>
      </c>
      <c r="E16">
        <f t="shared" si="11"/>
        <v>82000</v>
      </c>
      <c r="F16">
        <f t="shared" si="11"/>
        <v>63734.16</v>
      </c>
      <c r="G16">
        <f t="shared" si="11"/>
        <v>29133.940000000002</v>
      </c>
      <c r="I16" s="48">
        <f t="shared" si="2"/>
        <v>0</v>
      </c>
      <c r="J16" s="48">
        <f t="shared" si="3"/>
        <v>258.54187896900004</v>
      </c>
      <c r="K16" s="48">
        <f t="shared" si="4"/>
        <v>427.89485999999999</v>
      </c>
      <c r="L16" s="48">
        <f t="shared" si="5"/>
        <v>339.52971588480005</v>
      </c>
      <c r="M16" s="48">
        <f t="shared" si="6"/>
        <v>140.05704645900002</v>
      </c>
    </row>
    <row r="17" spans="1:13">
      <c r="I17" s="48"/>
      <c r="J17" s="48"/>
      <c r="K17" s="48"/>
      <c r="L17" s="48"/>
      <c r="M17" s="48"/>
    </row>
    <row r="18" spans="1:13">
      <c r="A18" t="s">
        <v>447</v>
      </c>
      <c r="C18" s="8">
        <f>C3+C8+C13</f>
        <v>0</v>
      </c>
      <c r="D18" s="8">
        <f>D3+D8+D13</f>
        <v>9266.67</v>
      </c>
      <c r="E18" s="8">
        <f t="shared" ref="D18:G20" si="12">E3+E8+E13</f>
        <v>10000</v>
      </c>
      <c r="F18" s="8">
        <f t="shared" si="12"/>
        <v>8900</v>
      </c>
      <c r="G18" s="8">
        <f>G3+G8+G13</f>
        <v>8900</v>
      </c>
      <c r="I18" s="48">
        <f t="shared" si="2"/>
        <v>0</v>
      </c>
      <c r="J18" s="48">
        <f t="shared" si="3"/>
        <v>44.5481260245</v>
      </c>
      <c r="K18" s="48">
        <f t="shared" si="4"/>
        <v>52.182299999999998</v>
      </c>
      <c r="L18" s="48">
        <f t="shared" si="5"/>
        <v>47.412792000000003</v>
      </c>
      <c r="M18" s="48">
        <f t="shared" si="6"/>
        <v>42.785415</v>
      </c>
    </row>
    <row r="19" spans="1:13">
      <c r="A19" t="s">
        <v>448</v>
      </c>
      <c r="C19" s="8">
        <f>C4+C9+C14</f>
        <v>16313</v>
      </c>
      <c r="D19" s="8">
        <f>D4+D9+D14</f>
        <v>83476.790000000008</v>
      </c>
      <c r="E19" s="8">
        <f t="shared" si="12"/>
        <v>106601</v>
      </c>
      <c r="F19" s="8">
        <f t="shared" si="12"/>
        <v>92897.73000000001</v>
      </c>
      <c r="G19" s="8">
        <f>G4+G9+G14</f>
        <v>69906.97</v>
      </c>
      <c r="I19" s="48">
        <f t="shared" si="2"/>
        <v>72.473275709999996</v>
      </c>
      <c r="J19" s="48">
        <f t="shared" si="3"/>
        <v>401.30214640650007</v>
      </c>
      <c r="K19" s="48">
        <f t="shared" si="4"/>
        <v>556.26853623</v>
      </c>
      <c r="L19" s="48">
        <f t="shared" si="5"/>
        <v>494.89221907440009</v>
      </c>
      <c r="M19" s="48">
        <f t="shared" si="6"/>
        <v>336.06727222950002</v>
      </c>
    </row>
    <row r="20" spans="1:13">
      <c r="A20" t="s">
        <v>449</v>
      </c>
      <c r="C20" s="8">
        <f>C5+C10+C15</f>
        <v>0</v>
      </c>
      <c r="D20" s="8">
        <f t="shared" si="12"/>
        <v>0</v>
      </c>
      <c r="E20" s="8">
        <f t="shared" si="12"/>
        <v>0</v>
      </c>
      <c r="F20" s="8">
        <f t="shared" si="12"/>
        <v>0</v>
      </c>
      <c r="G20" s="8">
        <f t="shared" si="12"/>
        <v>0</v>
      </c>
      <c r="I20" s="48">
        <f t="shared" si="2"/>
        <v>0</v>
      </c>
      <c r="J20" s="48">
        <f t="shared" si="3"/>
        <v>0</v>
      </c>
      <c r="K20" s="48">
        <f t="shared" si="4"/>
        <v>0</v>
      </c>
      <c r="L20" s="48">
        <f t="shared" si="5"/>
        <v>0</v>
      </c>
      <c r="M20" s="48">
        <f t="shared" si="6"/>
        <v>0</v>
      </c>
    </row>
    <row r="21" spans="1:13">
      <c r="A21" t="s">
        <v>525</v>
      </c>
      <c r="C21" s="8">
        <f>SUM(C18:C20)</f>
        <v>16313</v>
      </c>
      <c r="D21" s="8">
        <f t="shared" ref="D21:F21" si="13">SUM(D18:D20)</f>
        <v>92743.46</v>
      </c>
      <c r="E21" s="8">
        <f t="shared" si="13"/>
        <v>116601</v>
      </c>
      <c r="F21" s="8">
        <f t="shared" si="13"/>
        <v>101797.73000000001</v>
      </c>
      <c r="G21" s="8">
        <f>SUM(G18:G20)</f>
        <v>78806.97</v>
      </c>
      <c r="I21" s="48">
        <f t="shared" si="2"/>
        <v>72.473275709999996</v>
      </c>
      <c r="J21" s="48">
        <f t="shared" si="3"/>
        <v>445.85027243100006</v>
      </c>
      <c r="K21" s="48">
        <f t="shared" si="4"/>
        <v>608.45083622999994</v>
      </c>
      <c r="L21" s="48">
        <f t="shared" si="5"/>
        <v>542.30501107440011</v>
      </c>
      <c r="M21" s="48">
        <f t="shared" si="6"/>
        <v>378.85268722950002</v>
      </c>
    </row>
    <row r="25" spans="1:13">
      <c r="A25" s="5" t="s">
        <v>215</v>
      </c>
    </row>
    <row r="26" spans="1:13" ht="15">
      <c r="A26" s="1" t="s">
        <v>331</v>
      </c>
      <c r="B26" s="1" t="s">
        <v>481</v>
      </c>
      <c r="C26" s="1" t="s">
        <v>482</v>
      </c>
      <c r="D26" s="1" t="s">
        <v>483</v>
      </c>
      <c r="E26" s="1">
        <v>2008</v>
      </c>
      <c r="F26" s="1">
        <v>2009</v>
      </c>
      <c r="G26" s="1" t="s">
        <v>484</v>
      </c>
      <c r="H26" s="29"/>
    </row>
    <row r="27" spans="1:13">
      <c r="A27" s="28" t="s">
        <v>485</v>
      </c>
      <c r="B27" s="28"/>
      <c r="C27" s="28"/>
      <c r="D27" s="28"/>
      <c r="E27" s="28"/>
      <c r="F27" s="28"/>
      <c r="G27" s="28"/>
      <c r="H27" s="28"/>
    </row>
    <row r="28" spans="1:13">
      <c r="A28" s="27" t="s">
        <v>486</v>
      </c>
      <c r="B28" s="27"/>
      <c r="C28" s="27"/>
      <c r="D28" s="27"/>
      <c r="E28" s="27"/>
      <c r="F28" s="27"/>
      <c r="G28" s="27"/>
      <c r="H28" s="27"/>
    </row>
    <row r="29" spans="1:13" ht="15">
      <c r="A29" s="1" t="s">
        <v>200</v>
      </c>
      <c r="B29" s="1" t="s">
        <v>311</v>
      </c>
      <c r="C29" s="1"/>
      <c r="D29" s="1">
        <v>9266.67</v>
      </c>
      <c r="E29" s="1">
        <v>10000</v>
      </c>
      <c r="F29" s="1">
        <v>8900</v>
      </c>
      <c r="G29" s="1">
        <v>8900</v>
      </c>
      <c r="H29" s="29" t="s">
        <v>497</v>
      </c>
    </row>
    <row r="30" spans="1:13">
      <c r="A30" s="28" t="s">
        <v>434</v>
      </c>
      <c r="B30" s="28"/>
      <c r="C30" s="28"/>
      <c r="D30" s="28"/>
      <c r="E30" s="28"/>
      <c r="F30" s="28"/>
      <c r="G30" s="28"/>
      <c r="H30" s="28"/>
    </row>
    <row r="31" spans="1:13">
      <c r="A31" s="27" t="s">
        <v>435</v>
      </c>
      <c r="B31" s="27"/>
      <c r="C31" s="27"/>
      <c r="D31" s="27"/>
      <c r="E31" s="27"/>
      <c r="F31" s="27"/>
      <c r="G31" s="27"/>
      <c r="H31" s="27"/>
    </row>
    <row r="32" spans="1:13" ht="15">
      <c r="A32" s="1" t="s">
        <v>201</v>
      </c>
      <c r="B32" s="1" t="s">
        <v>311</v>
      </c>
      <c r="C32" s="1"/>
      <c r="D32" s="1">
        <v>1477.25</v>
      </c>
      <c r="E32" s="1">
        <v>0</v>
      </c>
      <c r="F32" s="1">
        <v>0</v>
      </c>
      <c r="G32" s="1">
        <v>4431.75</v>
      </c>
      <c r="H32" s="29" t="s">
        <v>498</v>
      </c>
    </row>
    <row r="33" spans="1:8" ht="15">
      <c r="A33" s="1" t="s">
        <v>202</v>
      </c>
      <c r="B33" s="1" t="s">
        <v>311</v>
      </c>
      <c r="C33" s="1"/>
      <c r="D33" s="1"/>
      <c r="E33" s="1"/>
      <c r="F33" s="1">
        <v>443.17</v>
      </c>
      <c r="G33" s="1">
        <v>3013.59</v>
      </c>
      <c r="H33" s="29" t="s">
        <v>498</v>
      </c>
    </row>
    <row r="34" spans="1:8">
      <c r="A34" s="28" t="s">
        <v>349</v>
      </c>
      <c r="B34" s="28"/>
      <c r="C34" s="28"/>
      <c r="D34" s="28"/>
      <c r="E34" s="28"/>
      <c r="F34" s="28"/>
      <c r="G34" s="28"/>
      <c r="H34" s="28"/>
    </row>
    <row r="37" spans="1:8">
      <c r="A37" s="5" t="s">
        <v>218</v>
      </c>
    </row>
    <row r="38" spans="1:8">
      <c r="A38" s="1" t="s">
        <v>273</v>
      </c>
      <c r="B38" s="1" t="s">
        <v>481</v>
      </c>
      <c r="C38" s="1" t="s">
        <v>482</v>
      </c>
      <c r="D38" s="1" t="s">
        <v>483</v>
      </c>
      <c r="E38" s="1">
        <v>2008</v>
      </c>
      <c r="F38" s="1">
        <v>2009</v>
      </c>
      <c r="G38" s="1" t="s">
        <v>484</v>
      </c>
    </row>
    <row r="39" spans="1:8">
      <c r="A39" s="72" t="s">
        <v>324</v>
      </c>
      <c r="B39" s="72"/>
      <c r="C39" s="72"/>
      <c r="D39" s="72"/>
      <c r="E39" s="72"/>
      <c r="F39" s="72"/>
      <c r="G39" s="72"/>
    </row>
    <row r="40" spans="1:8">
      <c r="A40" s="72" t="s">
        <v>434</v>
      </c>
      <c r="B40" s="72"/>
      <c r="C40" s="72"/>
      <c r="D40" s="72"/>
      <c r="E40" s="72"/>
      <c r="F40" s="72"/>
      <c r="G40" s="72"/>
    </row>
    <row r="41" spans="1:8">
      <c r="A41" s="73" t="s">
        <v>435</v>
      </c>
      <c r="B41" s="73"/>
      <c r="C41" s="73"/>
      <c r="D41" s="73"/>
      <c r="E41" s="73"/>
      <c r="F41" s="73"/>
      <c r="G41" s="73"/>
    </row>
    <row r="42" spans="1:8" ht="15">
      <c r="A42" s="1" t="s">
        <v>201</v>
      </c>
      <c r="B42" s="1" t="s">
        <v>311</v>
      </c>
      <c r="C42" s="1"/>
      <c r="D42" s="1">
        <v>851.33</v>
      </c>
      <c r="E42" s="1">
        <v>0</v>
      </c>
      <c r="F42" s="1">
        <v>0</v>
      </c>
      <c r="G42" s="1">
        <v>2553.98</v>
      </c>
      <c r="H42" s="29" t="s">
        <v>498</v>
      </c>
    </row>
    <row r="43" spans="1:8" ht="15">
      <c r="A43" s="1" t="s">
        <v>216</v>
      </c>
      <c r="B43" s="1" t="s">
        <v>311</v>
      </c>
      <c r="C43" s="1"/>
      <c r="D43" s="1">
        <v>7000</v>
      </c>
      <c r="E43" s="1">
        <v>7000</v>
      </c>
      <c r="F43" s="1">
        <v>7000</v>
      </c>
      <c r="G43" s="1">
        <v>7000</v>
      </c>
      <c r="H43" s="29" t="s">
        <v>497</v>
      </c>
    </row>
    <row r="44" spans="1:8">
      <c r="A44" s="1" t="s">
        <v>217</v>
      </c>
      <c r="B44" s="1" t="s">
        <v>311</v>
      </c>
      <c r="C44" s="1">
        <v>16313</v>
      </c>
      <c r="D44" s="1">
        <v>20367.669999999998</v>
      </c>
      <c r="E44" s="1">
        <v>17601</v>
      </c>
      <c r="F44" s="1">
        <v>21465</v>
      </c>
      <c r="G44" s="1">
        <v>22037</v>
      </c>
    </row>
    <row r="45" spans="1:8" ht="15">
      <c r="A45" s="1" t="s">
        <v>202</v>
      </c>
      <c r="B45" s="1" t="s">
        <v>311</v>
      </c>
      <c r="C45" s="1"/>
      <c r="D45" s="1"/>
      <c r="E45" s="1"/>
      <c r="F45" s="1">
        <v>255.4</v>
      </c>
      <c r="G45" s="1">
        <v>1736.71</v>
      </c>
      <c r="H45" s="29" t="s">
        <v>498</v>
      </c>
    </row>
    <row r="46" spans="1:8">
      <c r="A46" s="72" t="s">
        <v>349</v>
      </c>
      <c r="B46" s="72"/>
      <c r="C46" s="72"/>
      <c r="D46" s="72"/>
      <c r="E46" s="72"/>
      <c r="F46" s="72"/>
      <c r="G46" s="72"/>
    </row>
    <row r="49" spans="1:8">
      <c r="A49" s="5" t="s">
        <v>219</v>
      </c>
    </row>
    <row r="50" spans="1:8">
      <c r="A50" s="1" t="s">
        <v>331</v>
      </c>
      <c r="B50" s="1" t="s">
        <v>481</v>
      </c>
      <c r="C50" s="1" t="s">
        <v>482</v>
      </c>
      <c r="D50" s="1" t="s">
        <v>483</v>
      </c>
      <c r="E50" s="1">
        <v>2008</v>
      </c>
      <c r="F50" s="1">
        <v>2009</v>
      </c>
      <c r="G50" s="1" t="s">
        <v>484</v>
      </c>
    </row>
    <row r="51" spans="1:8">
      <c r="A51" s="72" t="s">
        <v>324</v>
      </c>
      <c r="B51" s="72"/>
      <c r="C51" s="72"/>
      <c r="D51" s="72"/>
      <c r="E51" s="72"/>
      <c r="F51" s="72"/>
      <c r="G51" s="72"/>
    </row>
    <row r="52" spans="1:8">
      <c r="A52" s="72" t="s">
        <v>434</v>
      </c>
      <c r="B52" s="72"/>
      <c r="C52" s="72"/>
      <c r="D52" s="72"/>
      <c r="E52" s="72"/>
      <c r="F52" s="72"/>
      <c r="G52" s="72"/>
    </row>
    <row r="53" spans="1:8">
      <c r="A53" s="73" t="s">
        <v>435</v>
      </c>
      <c r="B53" s="73"/>
      <c r="C53" s="73"/>
      <c r="D53" s="73"/>
      <c r="E53" s="73"/>
      <c r="F53" s="73"/>
      <c r="G53" s="73"/>
    </row>
    <row r="54" spans="1:8" ht="15">
      <c r="A54" s="1" t="s">
        <v>201</v>
      </c>
      <c r="B54" s="1" t="s">
        <v>311</v>
      </c>
      <c r="C54" s="1"/>
      <c r="D54" s="1">
        <v>53780.54</v>
      </c>
      <c r="E54" s="1">
        <v>82000</v>
      </c>
      <c r="F54" s="1">
        <v>62000</v>
      </c>
      <c r="G54" s="1">
        <v>17341.63</v>
      </c>
      <c r="H54" s="29" t="s">
        <v>498</v>
      </c>
    </row>
    <row r="55" spans="1:8" ht="15">
      <c r="A55" s="1" t="s">
        <v>202</v>
      </c>
      <c r="B55" s="1" t="s">
        <v>311</v>
      </c>
      <c r="C55" s="1"/>
      <c r="D55" s="1"/>
      <c r="E55" s="1"/>
      <c r="F55" s="1">
        <v>1734.16</v>
      </c>
      <c r="G55" s="1">
        <v>11792.31</v>
      </c>
      <c r="H55" s="29" t="s">
        <v>498</v>
      </c>
    </row>
    <row r="56" spans="1:8">
      <c r="A56" s="72" t="s">
        <v>349</v>
      </c>
      <c r="B56" s="72"/>
      <c r="C56" s="72"/>
      <c r="D56" s="72"/>
      <c r="E56" s="72"/>
      <c r="F56" s="72"/>
      <c r="G56" s="72"/>
    </row>
  </sheetData>
  <mergeCells count="9">
    <mergeCell ref="A39:G39"/>
    <mergeCell ref="I1:J1"/>
    <mergeCell ref="A56:G56"/>
    <mergeCell ref="A40:G40"/>
    <mergeCell ref="A41:G41"/>
    <mergeCell ref="A46:G46"/>
    <mergeCell ref="A51:G51"/>
    <mergeCell ref="A52:G52"/>
    <mergeCell ref="A53:G53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Chart FSF FFS</vt:lpstr>
      <vt:lpstr>Totals</vt:lpstr>
      <vt:lpstr>Australia</vt:lpstr>
      <vt:lpstr>Belgium</vt:lpstr>
      <vt:lpstr>Canada</vt:lpstr>
      <vt:lpstr>Chile</vt:lpstr>
      <vt:lpstr>France</vt:lpstr>
      <vt:lpstr>Germany</vt:lpstr>
      <vt:lpstr>Hungary</vt:lpstr>
      <vt:lpstr>Iceland</vt:lpstr>
      <vt:lpstr>Ireland</vt:lpstr>
      <vt:lpstr>Israel</vt:lpstr>
      <vt:lpstr>Italy</vt:lpstr>
      <vt:lpstr>Japan</vt:lpstr>
      <vt:lpstr>Korea</vt:lpstr>
      <vt:lpstr>Luxembourg</vt:lpstr>
      <vt:lpstr>Mexico</vt:lpstr>
      <vt:lpstr>Netherlands</vt:lpstr>
      <vt:lpstr>New Zealand</vt:lpstr>
      <vt:lpstr>Norway</vt:lpstr>
      <vt:lpstr>Poland</vt:lpstr>
      <vt:lpstr>Spain</vt:lpstr>
      <vt:lpstr>Sweden</vt:lpstr>
      <vt:lpstr>Turkey</vt:lpstr>
      <vt:lpstr>U.K.</vt:lpstr>
      <vt:lpstr>U.S.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Bast</dc:creator>
  <cp:lastModifiedBy>Stephen Kretzmann</cp:lastModifiedBy>
  <dcterms:created xsi:type="dcterms:W3CDTF">2012-01-03T17:08:32Z</dcterms:created>
  <dcterms:modified xsi:type="dcterms:W3CDTF">2012-05-04T18:33:35Z</dcterms:modified>
</cp:coreProperties>
</file>